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bannagh\Desktop\"/>
    </mc:Choice>
  </mc:AlternateContent>
  <workbookProtection workbookAlgorithmName="SHA-512" workbookHashValue="T3QBvktkMmHt+CvhjuWygGgb/nS5sNg/IaTqlOc47p765UxfEuyNXigJkk/O7ui2VmpgPudCobtnYAqoIp0WyQ==" workbookSaltValue="oe0YBa1pQ9o1PjA01mEWng==" workbookSpinCount="100000" lockStructure="1"/>
  <bookViews>
    <workbookView xWindow="0" yWindow="0" windowWidth="23040" windowHeight="9975" tabRatio="937" firstSheet="1" activeTab="8"/>
  </bookViews>
  <sheets>
    <sheet name="Hide_me(drop_downs)" sheetId="24" state="hidden" r:id="rId1"/>
    <sheet name="Title_Page" sheetId="21" r:id="rId2"/>
    <sheet name="Table_1_UK" sheetId="9" r:id="rId3"/>
    <sheet name="Table_2_UK" sheetId="12" r:id="rId4"/>
    <sheet name="Table_3_UK" sheetId="10" r:id="rId5"/>
    <sheet name="Table_3_Scotland" sheetId="22" r:id="rId6"/>
    <sheet name="Table_4_UK" sheetId="11" r:id="rId7"/>
    <sheet name="Table_5_UK" sheetId="2" r:id="rId8"/>
    <sheet name="Table_6_UK" sheetId="35" r:id="rId9"/>
    <sheet name="Table_7_UK" sheetId="14" r:id="rId10"/>
    <sheet name="Table_7_England" sheetId="16" r:id="rId11"/>
    <sheet name="Table_7_Wales" sheetId="15" r:id="rId12"/>
    <sheet name="Table_7_Scotland" sheetId="19" r:id="rId13"/>
    <sheet name="Table_7_N_Ireland" sheetId="18" r:id="rId14"/>
    <sheet name="Table_8_UK" sheetId="3" r:id="rId15"/>
    <sheet name="Table_9_UK" sheetId="7" r:id="rId16"/>
    <sheet name="Table_10_UK" sheetId="28" r:id="rId17"/>
    <sheet name="Table_11_UK" sheetId="31" r:id="rId18"/>
    <sheet name="Table_12_UK" sheetId="30" r:id="rId19"/>
    <sheet name="Table_13_UK" sheetId="32" r:id="rId20"/>
    <sheet name="KFI" sheetId="27" r:id="rId21"/>
  </sheets>
  <definedNames>
    <definedName name="_xlnm.Print_Area" localSheetId="2">Table_1_UK!$A$1:$I$59</definedName>
    <definedName name="_xlnm.Print_Area" localSheetId="16">Table_10_UK!$A$1:$M$59</definedName>
    <definedName name="_xlnm.Print_Area" localSheetId="3">Table_2_UK!$A$1:$N$25</definedName>
    <definedName name="_xlnm.Print_Area" localSheetId="4">Table_3_UK!$A$1:$I$63</definedName>
    <definedName name="_xlnm.Print_Area" localSheetId="6">Table_4_UK!$A$1:$I$61</definedName>
    <definedName name="_xlnm.Print_Area" localSheetId="10">Table_7_England!$A$1:$I$12</definedName>
    <definedName name="_xlnm.Print_Area" localSheetId="13">Table_7_N_Ireland!$A$1:$J$11</definedName>
    <definedName name="_xlnm.Print_Area" localSheetId="12">Table_7_Scotland!$A$1:$K$14</definedName>
    <definedName name="_xlnm.Print_Area" localSheetId="11">Table_7_Wales!$A$1:$J$16</definedName>
    <definedName name="_xlnm.Print_Area" localSheetId="1">Title_Page!$A$1:$K$222</definedName>
    <definedName name="_xlnm.Print_Titles" localSheetId="18">Table_12_UK!1:18</definedName>
    <definedName name="_xlnm.Print_Titles" localSheetId="7">Table_5_UK!A:G</definedName>
    <definedName name="_xlnm.Print_Titles" localSheetId="1">Title_Page!1:24</definedName>
    <definedName name="Rules">Title_Page!$A$26:$A$200</definedName>
  </definedNames>
  <calcPr calcId="162913" refMode="R1C1"/>
  <fileRecoveryPr autoRecover="0"/>
  <extLst>
    <x:ext xmlns:x="http://schemas.openxmlformats.org/spreadsheetml/2006/main" xmlns:xcalcf="http://schemas.microsoft.com/office/spreadsheetml/2018/calcfeatures" uri="{B58B0392-4F1F-4190-BB64-5DF3571DCE5F}">
      <xcalcf:calcFeatures>
        <xcalcf:feature name="microsoft.com:RD"/>
      </xcalcf:calcFeatures>
    </x:ext>
  </extLst>
</workbook>
</file>

<file path=xl/calcChain.xml><?xml version="1.0" encoding="utf-8"?>
<calcChain xmlns="http://schemas.openxmlformats.org/spreadsheetml/2006/main">
  <c r="I72" i="21" l="1"/>
  <c r="I102" i="21"/>
  <c r="I106" i="21"/>
  <c r="I114" i="21"/>
  <c r="H164" i="21"/>
  <c r="O164" i="21" s="1"/>
  <c r="I164" i="21"/>
  <c r="H190" i="21"/>
  <c r="O190" i="21" s="1"/>
  <c r="I190" i="21"/>
  <c r="H191" i="21"/>
  <c r="O191" i="21" s="1"/>
  <c r="I191" i="21"/>
  <c r="N191" i="21"/>
  <c r="I196" i="21"/>
  <c r="H197" i="21"/>
  <c r="O197" i="21" s="1"/>
  <c r="H198" i="21"/>
  <c r="O198" i="21" s="1"/>
  <c r="H199" i="21"/>
  <c r="H200" i="21"/>
  <c r="H203" i="21"/>
  <c r="O203" i="21" s="1"/>
  <c r="H204" i="21"/>
  <c r="O204" i="21" s="1"/>
  <c r="I204" i="21"/>
  <c r="H207" i="21"/>
  <c r="O207" i="21" s="1"/>
  <c r="I207" i="21"/>
  <c r="H208" i="21"/>
  <c r="O208" i="21" s="1"/>
  <c r="I208" i="21"/>
  <c r="H209" i="21"/>
  <c r="O209" i="21" s="1"/>
  <c r="I209" i="21"/>
  <c r="H221" i="21"/>
  <c r="O221" i="21" s="1"/>
  <c r="I221" i="21"/>
  <c r="H222" i="21"/>
  <c r="O222" i="21" s="1"/>
  <c r="I222" i="21"/>
  <c r="H223" i="21"/>
  <c r="O223" i="21" s="1"/>
  <c r="I223" i="21"/>
  <c r="H224" i="21"/>
  <c r="O224" i="21" s="1"/>
  <c r="I224" i="21"/>
  <c r="H225" i="21"/>
  <c r="O225" i="21" s="1"/>
  <c r="I225" i="21"/>
  <c r="P47" i="2"/>
  <c r="AD47" i="2" s="1"/>
  <c r="P48" i="2"/>
  <c r="AD48" i="2"/>
  <c r="P49" i="2"/>
  <c r="AD49" i="2" s="1"/>
  <c r="P50" i="2"/>
  <c r="AD50" i="2" s="1"/>
  <c r="Q51" i="2"/>
  <c r="T51" i="2"/>
  <c r="V51" i="2"/>
  <c r="W51" i="2"/>
  <c r="Y51" i="2"/>
  <c r="Z51" i="2"/>
  <c r="AB51" i="2"/>
  <c r="AB61" i="2" s="1"/>
  <c r="AC51" i="2"/>
  <c r="P53" i="2"/>
  <c r="AD53" i="2" s="1"/>
  <c r="P58" i="2"/>
  <c r="AD58" i="2" s="1"/>
  <c r="W59" i="2"/>
  <c r="X59" i="2"/>
  <c r="Y59" i="2"/>
  <c r="Z59" i="2"/>
  <c r="AA59" i="2"/>
  <c r="AB59" i="2"/>
  <c r="AC59" i="2"/>
  <c r="P63" i="2"/>
  <c r="AD63" i="2"/>
  <c r="P47" i="35"/>
  <c r="Q47" i="35"/>
  <c r="P48" i="35"/>
  <c r="Q48" i="35"/>
  <c r="P49" i="35"/>
  <c r="Q49" i="35"/>
  <c r="R49" i="35" s="1"/>
  <c r="P50" i="35"/>
  <c r="Q50" i="35"/>
  <c r="P51" i="35"/>
  <c r="Q51" i="35"/>
  <c r="P52" i="35"/>
  <c r="Q52" i="35"/>
  <c r="P53" i="35"/>
  <c r="Q53" i="35"/>
  <c r="R53" i="35" s="1"/>
  <c r="P58" i="35"/>
  <c r="P59" i="35"/>
  <c r="P61" i="35"/>
  <c r="Q61" i="35"/>
  <c r="R61" i="35" s="1"/>
  <c r="P62" i="35"/>
  <c r="Q62" i="35"/>
  <c r="R62" i="35" s="1"/>
  <c r="I57" i="3"/>
  <c r="I62" i="3" s="1"/>
  <c r="L57" i="3"/>
  <c r="L62" i="3" s="1"/>
  <c r="O58" i="3"/>
  <c r="O59" i="3"/>
  <c r="J60" i="3"/>
  <c r="O60" i="3" s="1"/>
  <c r="J61" i="3"/>
  <c r="O61" i="3" s="1"/>
  <c r="J65" i="3"/>
  <c r="O65" i="3"/>
  <c r="J66" i="3"/>
  <c r="O66" i="3" s="1"/>
  <c r="I67" i="3"/>
  <c r="L67" i="3"/>
  <c r="M67" i="3"/>
  <c r="N67" i="3"/>
  <c r="J70" i="3"/>
  <c r="J71" i="3"/>
  <c r="O71" i="3" s="1"/>
  <c r="I72" i="3"/>
  <c r="L72" i="3"/>
  <c r="M72" i="3"/>
  <c r="N72" i="3"/>
  <c r="J76" i="3"/>
  <c r="O76" i="3" s="1"/>
  <c r="J77" i="3"/>
  <c r="O77" i="3" s="1"/>
  <c r="J78" i="3"/>
  <c r="O78" i="3" s="1"/>
  <c r="J79" i="3"/>
  <c r="O79" i="3" s="1"/>
  <c r="J80" i="3"/>
  <c r="O80" i="3" s="1"/>
  <c r="J81" i="3"/>
  <c r="O81" i="3"/>
  <c r="J82" i="3"/>
  <c r="O82" i="3" s="1"/>
  <c r="J83" i="3"/>
  <c r="O83" i="3"/>
  <c r="I84" i="3"/>
  <c r="L84" i="3"/>
  <c r="M84" i="3"/>
  <c r="M97" i="3" s="1"/>
  <c r="J85" i="3"/>
  <c r="O85" i="3" s="1"/>
  <c r="J86" i="3"/>
  <c r="O86" i="3" s="1"/>
  <c r="J87" i="3"/>
  <c r="O87" i="3" s="1"/>
  <c r="J88" i="3"/>
  <c r="O88" i="3" s="1"/>
  <c r="J89" i="3"/>
  <c r="O89" i="3" s="1"/>
  <c r="J90" i="3"/>
  <c r="O90" i="3" s="1"/>
  <c r="J91" i="3"/>
  <c r="O91" i="3" s="1"/>
  <c r="J92" i="3"/>
  <c r="O92" i="3" s="1"/>
  <c r="J93" i="3"/>
  <c r="O93" i="3" s="1"/>
  <c r="J94" i="3"/>
  <c r="O94" i="3" s="1"/>
  <c r="J95" i="3"/>
  <c r="O95" i="3" s="1"/>
  <c r="J96" i="3"/>
  <c r="O96" i="3" s="1"/>
  <c r="I97" i="3"/>
  <c r="L97" i="3"/>
  <c r="J100" i="3"/>
  <c r="O100" i="3" s="1"/>
  <c r="J101" i="3"/>
  <c r="O101" i="3" s="1"/>
  <c r="I102" i="3"/>
  <c r="K102" i="3"/>
  <c r="L102" i="3"/>
  <c r="M102" i="3"/>
  <c r="N102" i="3"/>
  <c r="K104" i="3"/>
  <c r="T6" i="28"/>
  <c r="V6" i="28" s="1"/>
  <c r="W6" i="28"/>
  <c r="Y6" i="28" s="1"/>
  <c r="Z6" i="28"/>
  <c r="T7" i="28"/>
  <c r="V7" i="28" s="1"/>
  <c r="W7" i="28"/>
  <c r="Y7" i="28" s="1"/>
  <c r="Z7" i="28"/>
  <c r="T8" i="28"/>
  <c r="V8" i="28" s="1"/>
  <c r="W8" i="28"/>
  <c r="Y8" i="28" s="1"/>
  <c r="Z8" i="28"/>
  <c r="T9" i="28"/>
  <c r="V9" i="28" s="1"/>
  <c r="W9" i="28"/>
  <c r="Y9" i="28" s="1"/>
  <c r="Z9" i="28"/>
  <c r="T10" i="28"/>
  <c r="V10" i="28" s="1"/>
  <c r="W10" i="28"/>
  <c r="Y10" i="28" s="1"/>
  <c r="Z10" i="28"/>
  <c r="AB10" i="28" s="1"/>
  <c r="T11" i="28"/>
  <c r="V11" i="28"/>
  <c r="W11" i="28"/>
  <c r="Y11" i="28" s="1"/>
  <c r="Z11" i="28"/>
  <c r="AB11" i="28"/>
  <c r="T15" i="28"/>
  <c r="V15" i="28" s="1"/>
  <c r="W15" i="28"/>
  <c r="Y15" i="28" s="1"/>
  <c r="Z15" i="28"/>
  <c r="AB15" i="28" s="1"/>
  <c r="T16" i="28"/>
  <c r="V16" i="28" s="1"/>
  <c r="W16" i="28"/>
  <c r="Y16" i="28" s="1"/>
  <c r="Z16" i="28"/>
  <c r="AB16" i="28" s="1"/>
  <c r="T17" i="28"/>
  <c r="V17" i="28" s="1"/>
  <c r="W17" i="28"/>
  <c r="Y17" i="28" s="1"/>
  <c r="Z17" i="28"/>
  <c r="AB17" i="28" s="1"/>
  <c r="T18" i="28"/>
  <c r="V18" i="28" s="1"/>
  <c r="W18" i="28"/>
  <c r="Y18" i="28" s="1"/>
  <c r="Z18" i="28"/>
  <c r="AB18" i="28" s="1"/>
  <c r="T19" i="28"/>
  <c r="V19" i="28" s="1"/>
  <c r="W19" i="28"/>
  <c r="Y19" i="28" s="1"/>
  <c r="Z19" i="28"/>
  <c r="AB19" i="28" s="1"/>
  <c r="W24" i="28"/>
  <c r="Y24" i="28" s="1"/>
  <c r="Z24" i="28"/>
  <c r="AB24" i="28" s="1"/>
  <c r="W25" i="28"/>
  <c r="Y25" i="28" s="1"/>
  <c r="Z25" i="28"/>
  <c r="AB25" i="28" s="1"/>
  <c r="W26" i="28"/>
  <c r="Y26" i="28" s="1"/>
  <c r="Z26" i="28"/>
  <c r="AB26" i="28" s="1"/>
  <c r="W27" i="28"/>
  <c r="Y27" i="28" s="1"/>
  <c r="Z27" i="28"/>
  <c r="AB27" i="28" s="1"/>
  <c r="W32" i="28"/>
  <c r="Y32" i="28" s="1"/>
  <c r="Z32" i="28"/>
  <c r="AB32" i="28" s="1"/>
  <c r="Q33" i="28"/>
  <c r="S33" i="28" s="1"/>
  <c r="T33" i="28"/>
  <c r="V33" i="28" s="1"/>
  <c r="W33" i="28"/>
  <c r="Y33" i="28" s="1"/>
  <c r="Z33" i="28"/>
  <c r="AB33" i="28" s="1"/>
  <c r="T38" i="28"/>
  <c r="V38" i="28" s="1"/>
  <c r="W38" i="28"/>
  <c r="Y38" i="28" s="1"/>
  <c r="Z38" i="28"/>
  <c r="AB38" i="28" s="1"/>
  <c r="T39" i="28"/>
  <c r="V39" i="28" s="1"/>
  <c r="W39" i="28"/>
  <c r="Y39" i="28" s="1"/>
  <c r="Z39" i="28"/>
  <c r="AB39" i="28" s="1"/>
  <c r="T40" i="28"/>
  <c r="V40" i="28" s="1"/>
  <c r="W40" i="28"/>
  <c r="Y40" i="28" s="1"/>
  <c r="Z40" i="28"/>
  <c r="AB40" i="28" s="1"/>
  <c r="T41" i="28"/>
  <c r="V41" i="28" s="1"/>
  <c r="W41" i="28"/>
  <c r="Y41" i="28" s="1"/>
  <c r="Z41" i="28"/>
  <c r="AB41" i="28" s="1"/>
  <c r="Q46" i="28"/>
  <c r="S46" i="28" s="1"/>
  <c r="T46" i="28"/>
  <c r="V46" i="28" s="1"/>
  <c r="W46" i="28"/>
  <c r="Y46" i="28" s="1"/>
  <c r="Z46" i="28"/>
  <c r="AB46" i="28" s="1"/>
  <c r="Q47" i="28"/>
  <c r="S47" i="28" s="1"/>
  <c r="T47" i="28"/>
  <c r="V47" i="28" s="1"/>
  <c r="W47" i="28"/>
  <c r="Y47" i="28" s="1"/>
  <c r="Z47" i="28"/>
  <c r="AB47" i="28" s="1"/>
  <c r="Q48" i="28"/>
  <c r="S48" i="28" s="1"/>
  <c r="T48" i="28"/>
  <c r="V48" i="28" s="1"/>
  <c r="W48" i="28"/>
  <c r="Y48" i="28" s="1"/>
  <c r="Z48" i="28"/>
  <c r="AB48" i="28" s="1"/>
  <c r="Q49" i="28"/>
  <c r="S49" i="28" s="1"/>
  <c r="T49" i="28"/>
  <c r="V49" i="28" s="1"/>
  <c r="W49" i="28"/>
  <c r="Y49" i="28" s="1"/>
  <c r="Z49" i="28"/>
  <c r="AB49" i="28" s="1"/>
  <c r="Q51" i="28"/>
  <c r="S51" i="28" s="1"/>
  <c r="T51" i="28"/>
  <c r="V51" i="28" s="1"/>
  <c r="W51" i="28"/>
  <c r="Y51" i="28" s="1"/>
  <c r="Z51" i="28"/>
  <c r="AB51" i="28" s="1"/>
  <c r="Q55" i="28"/>
  <c r="S55" i="28" s="1"/>
  <c r="T55" i="28"/>
  <c r="V55" i="28" s="1"/>
  <c r="W55" i="28"/>
  <c r="Y55" i="28" s="1"/>
  <c r="Z55" i="28"/>
  <c r="AB55" i="28" s="1"/>
  <c r="Q56" i="28"/>
  <c r="S56" i="28" s="1"/>
  <c r="T56" i="28"/>
  <c r="V56" i="28" s="1"/>
  <c r="W56" i="28"/>
  <c r="Y56" i="28" s="1"/>
  <c r="Z56" i="28"/>
  <c r="AB56" i="28" s="1"/>
  <c r="AA7" i="31"/>
  <c r="AC7" i="31"/>
  <c r="AE7" i="31"/>
  <c r="AG7" i="31"/>
  <c r="AA8" i="31"/>
  <c r="AC8" i="31"/>
  <c r="AE8" i="31"/>
  <c r="AG8" i="31"/>
  <c r="R10" i="31"/>
  <c r="S10" i="31"/>
  <c r="R11" i="31"/>
  <c r="S11" i="31"/>
  <c r="R12" i="31"/>
  <c r="S12" i="31"/>
  <c r="R13" i="31"/>
  <c r="S13" i="31"/>
  <c r="R14" i="31"/>
  <c r="S14" i="31"/>
  <c r="R15" i="31"/>
  <c r="S15" i="31"/>
  <c r="R16" i="31"/>
  <c r="S16" i="31"/>
  <c r="I220" i="21" s="1"/>
  <c r="R17" i="31"/>
  <c r="S17" i="31"/>
  <c r="R19" i="31"/>
  <c r="S19" i="31"/>
  <c r="R20" i="31"/>
  <c r="S20" i="31"/>
  <c r="R21" i="31"/>
  <c r="S21" i="31"/>
  <c r="R22" i="31"/>
  <c r="H210" i="21" s="1"/>
  <c r="S22" i="31"/>
  <c r="J23" i="31"/>
  <c r="K23" i="31"/>
  <c r="L23" i="31"/>
  <c r="M23" i="31"/>
  <c r="N23" i="31"/>
  <c r="O23" i="31"/>
  <c r="P23" i="31"/>
  <c r="Q23" i="31"/>
  <c r="R23" i="31"/>
  <c r="S23" i="31"/>
  <c r="R25" i="31"/>
  <c r="S25" i="31"/>
  <c r="R26" i="31"/>
  <c r="S26" i="31"/>
  <c r="R27" i="31"/>
  <c r="S27" i="31"/>
  <c r="R29" i="31"/>
  <c r="S29" i="31"/>
  <c r="R30" i="31"/>
  <c r="S30" i="31"/>
  <c r="R31" i="31"/>
  <c r="S31" i="31"/>
  <c r="R32" i="31"/>
  <c r="H212" i="21" s="1"/>
  <c r="S32" i="31"/>
  <c r="J33" i="31"/>
  <c r="K33" i="31"/>
  <c r="L33" i="31"/>
  <c r="M33" i="31"/>
  <c r="N33" i="31"/>
  <c r="O33" i="31"/>
  <c r="P33" i="31"/>
  <c r="Q33" i="31"/>
  <c r="R33" i="31"/>
  <c r="AA35" i="31"/>
  <c r="AB35" i="31"/>
  <c r="AC35" i="31"/>
  <c r="AD35" i="31"/>
  <c r="AE35" i="31"/>
  <c r="AF35" i="31"/>
  <c r="AG35" i="31"/>
  <c r="AH35" i="31"/>
  <c r="AA36" i="31"/>
  <c r="AB36" i="31"/>
  <c r="AC36" i="31"/>
  <c r="AD36" i="31"/>
  <c r="AE36" i="31"/>
  <c r="AF36" i="31"/>
  <c r="AG36" i="31"/>
  <c r="AH36" i="31"/>
  <c r="AJ38" i="31"/>
  <c r="G6" i="27"/>
  <c r="G9" i="27"/>
  <c r="H16" i="30"/>
  <c r="G16" i="30"/>
  <c r="H216" i="21" s="1"/>
  <c r="F16" i="30"/>
  <c r="E16" i="30"/>
  <c r="F10" i="30"/>
  <c r="H214" i="21" s="1"/>
  <c r="E10" i="30"/>
  <c r="Q41" i="28"/>
  <c r="S41" i="28" s="1"/>
  <c r="Q40" i="28"/>
  <c r="S40" i="28" s="1"/>
  <c r="Q39" i="28"/>
  <c r="S39" i="28" s="1"/>
  <c r="S38" i="28"/>
  <c r="Q38" i="28"/>
  <c r="T32" i="28"/>
  <c r="V32" i="28" s="1"/>
  <c r="Q32" i="28"/>
  <c r="S32" i="28" s="1"/>
  <c r="T27" i="28"/>
  <c r="V27" i="28" s="1"/>
  <c r="Q27" i="28"/>
  <c r="S27" i="28" s="1"/>
  <c r="T26" i="28"/>
  <c r="V26" i="28" s="1"/>
  <c r="Q26" i="28"/>
  <c r="S26" i="28" s="1"/>
  <c r="T25" i="28"/>
  <c r="V25" i="28" s="1"/>
  <c r="Q25" i="28"/>
  <c r="S25" i="28" s="1"/>
  <c r="T24" i="28"/>
  <c r="V24" i="28" s="1"/>
  <c r="S24" i="28"/>
  <c r="Q24" i="28"/>
  <c r="Q19" i="28"/>
  <c r="S19" i="28" s="1"/>
  <c r="Q18" i="28"/>
  <c r="S18" i="28" s="1"/>
  <c r="Q17" i="28"/>
  <c r="S17" i="28" s="1"/>
  <c r="Q16" i="28"/>
  <c r="S16" i="28" s="1"/>
  <c r="Q15" i="28"/>
  <c r="S15" i="28" s="1"/>
  <c r="Q11" i="28"/>
  <c r="S11" i="28" s="1"/>
  <c r="Q10" i="28"/>
  <c r="S10" i="28" s="1"/>
  <c r="AB9" i="28"/>
  <c r="Q9" i="28"/>
  <c r="S9" i="28" s="1"/>
  <c r="AB8" i="28"/>
  <c r="Q8" i="28"/>
  <c r="S8" i="28" s="1"/>
  <c r="AB7" i="28"/>
  <c r="Q7" i="28"/>
  <c r="S7" i="28" s="1"/>
  <c r="AB6" i="28"/>
  <c r="S6" i="28"/>
  <c r="Q6" i="28"/>
  <c r="O17" i="7"/>
  <c r="N17" i="7"/>
  <c r="M17" i="7"/>
  <c r="L17" i="7"/>
  <c r="H196" i="21" s="1"/>
  <c r="K17" i="7"/>
  <c r="J17" i="7"/>
  <c r="I17" i="7"/>
  <c r="H15" i="7"/>
  <c r="H14" i="7"/>
  <c r="H11" i="7"/>
  <c r="H10" i="7"/>
  <c r="H7" i="7"/>
  <c r="H6" i="7"/>
  <c r="H102" i="3"/>
  <c r="H84" i="3"/>
  <c r="H97" i="3" s="1"/>
  <c r="M57" i="3"/>
  <c r="M62" i="3" s="1"/>
  <c r="H57" i="3"/>
  <c r="J57" i="3" s="1"/>
  <c r="J56" i="3"/>
  <c r="J53" i="3"/>
  <c r="O53" i="3" s="1"/>
  <c r="M51" i="3"/>
  <c r="L51" i="3"/>
  <c r="I51" i="3"/>
  <c r="H51" i="3"/>
  <c r="J50" i="3"/>
  <c r="O50" i="3" s="1"/>
  <c r="J49" i="3"/>
  <c r="O49" i="3" s="1"/>
  <c r="J48" i="3"/>
  <c r="J47" i="3"/>
  <c r="J46" i="3"/>
  <c r="I159" i="21" s="1"/>
  <c r="J45" i="3"/>
  <c r="J44" i="3"/>
  <c r="I157" i="21" s="1"/>
  <c r="J43" i="3"/>
  <c r="H156" i="21" s="1"/>
  <c r="J42" i="3"/>
  <c r="I155" i="21" s="1"/>
  <c r="J41" i="3"/>
  <c r="J40" i="3"/>
  <c r="I153" i="21" s="1"/>
  <c r="J39" i="3"/>
  <c r="H152" i="21" s="1"/>
  <c r="J38" i="3"/>
  <c r="I151" i="21" s="1"/>
  <c r="J37" i="3"/>
  <c r="J36" i="3"/>
  <c r="I149" i="21" s="1"/>
  <c r="J35" i="3"/>
  <c r="H148" i="21" s="1"/>
  <c r="J34" i="3"/>
  <c r="I147" i="21" s="1"/>
  <c r="J33" i="3"/>
  <c r="O32" i="3"/>
  <c r="J32" i="3"/>
  <c r="I145" i="21" s="1"/>
  <c r="J31" i="3"/>
  <c r="I144" i="21" s="1"/>
  <c r="J30" i="3"/>
  <c r="I143" i="21" s="1"/>
  <c r="J29" i="3"/>
  <c r="I142" i="21" s="1"/>
  <c r="O28" i="3"/>
  <c r="J28" i="3"/>
  <c r="I141" i="21" s="1"/>
  <c r="J27" i="3"/>
  <c r="I140" i="21" s="1"/>
  <c r="O26" i="3"/>
  <c r="J26" i="3"/>
  <c r="I139" i="21" s="1"/>
  <c r="J25" i="3"/>
  <c r="I138" i="21" s="1"/>
  <c r="J24" i="3"/>
  <c r="I137" i="21" s="1"/>
  <c r="J23" i="3"/>
  <c r="I136" i="21" s="1"/>
  <c r="J22" i="3"/>
  <c r="I135" i="21" s="1"/>
  <c r="J21" i="3"/>
  <c r="I134" i="21" s="1"/>
  <c r="O20" i="3"/>
  <c r="J20" i="3"/>
  <c r="I133" i="21" s="1"/>
  <c r="J19" i="3"/>
  <c r="I132" i="21" s="1"/>
  <c r="J18" i="3"/>
  <c r="I131" i="21" s="1"/>
  <c r="J17" i="3"/>
  <c r="O17" i="3" s="1"/>
  <c r="J16" i="3"/>
  <c r="I129" i="21" s="1"/>
  <c r="J15" i="3"/>
  <c r="I128" i="21" s="1"/>
  <c r="J14" i="3"/>
  <c r="I127" i="21" s="1"/>
  <c r="J13" i="3"/>
  <c r="I126" i="21" s="1"/>
  <c r="J12" i="3"/>
  <c r="I125" i="21" s="1"/>
  <c r="J11" i="3"/>
  <c r="I124" i="21" s="1"/>
  <c r="J10" i="3"/>
  <c r="I123" i="21" s="1"/>
  <c r="J9" i="3"/>
  <c r="I122" i="21" s="1"/>
  <c r="O8" i="3"/>
  <c r="J8" i="3"/>
  <c r="I121" i="21" s="1"/>
  <c r="J7" i="3"/>
  <c r="I120" i="21" s="1"/>
  <c r="J6" i="3"/>
  <c r="I119" i="21" s="1"/>
  <c r="H10" i="18"/>
  <c r="I118" i="21" s="1"/>
  <c r="H13" i="19"/>
  <c r="I117" i="21" s="1"/>
  <c r="H15" i="15"/>
  <c r="I116" i="21" s="1"/>
  <c r="H12" i="16"/>
  <c r="I115" i="21" s="1"/>
  <c r="H61" i="14"/>
  <c r="I107" i="21" s="1"/>
  <c r="H44" i="14"/>
  <c r="H40" i="14"/>
  <c r="H8" i="14"/>
  <c r="H112" i="21" s="1"/>
  <c r="O63" i="35"/>
  <c r="K63" i="35"/>
  <c r="H87" i="21" s="1"/>
  <c r="O87" i="21" s="1"/>
  <c r="Q59" i="35"/>
  <c r="R59" i="35" s="1"/>
  <c r="Q58" i="35"/>
  <c r="R58" i="35" s="1"/>
  <c r="O54" i="35"/>
  <c r="K54" i="35"/>
  <c r="R52" i="35"/>
  <c r="R51" i="35"/>
  <c r="R50" i="35"/>
  <c r="R48" i="35"/>
  <c r="R47" i="35"/>
  <c r="N42" i="35"/>
  <c r="M42" i="35"/>
  <c r="L42" i="35"/>
  <c r="J42" i="35"/>
  <c r="I42" i="35"/>
  <c r="H42" i="35"/>
  <c r="O41" i="35"/>
  <c r="K41" i="35"/>
  <c r="Q41" i="35" s="1"/>
  <c r="O40" i="35"/>
  <c r="K40" i="35"/>
  <c r="P39" i="35"/>
  <c r="O39" i="35"/>
  <c r="K39" i="35"/>
  <c r="O38" i="35"/>
  <c r="K38" i="35"/>
  <c r="P38" i="35" s="1"/>
  <c r="O37" i="35"/>
  <c r="K37" i="35"/>
  <c r="Q37" i="35" s="1"/>
  <c r="O36" i="35"/>
  <c r="K36" i="35"/>
  <c r="O35" i="35"/>
  <c r="K35" i="35"/>
  <c r="P35" i="35" s="1"/>
  <c r="N31" i="35"/>
  <c r="M31" i="35"/>
  <c r="L31" i="35"/>
  <c r="J31" i="35"/>
  <c r="I31" i="35"/>
  <c r="H31" i="35"/>
  <c r="N30" i="35"/>
  <c r="M30" i="35"/>
  <c r="L30" i="35"/>
  <c r="J30" i="35"/>
  <c r="I30" i="35"/>
  <c r="H30" i="35"/>
  <c r="N29" i="35"/>
  <c r="M29" i="35"/>
  <c r="L29" i="35"/>
  <c r="J29" i="35"/>
  <c r="I29" i="35"/>
  <c r="H29" i="35"/>
  <c r="N28" i="35"/>
  <c r="M28" i="35"/>
  <c r="O28" i="35" s="1"/>
  <c r="L28" i="35"/>
  <c r="J28" i="35"/>
  <c r="I28" i="35"/>
  <c r="H28" i="35"/>
  <c r="K28" i="35" s="1"/>
  <c r="N27" i="35"/>
  <c r="M27" i="35"/>
  <c r="L27" i="35"/>
  <c r="J27" i="35"/>
  <c r="I27" i="35"/>
  <c r="H27" i="35"/>
  <c r="N26" i="35"/>
  <c r="M26" i="35"/>
  <c r="L26" i="35"/>
  <c r="J26" i="35"/>
  <c r="I26" i="35"/>
  <c r="H26" i="35"/>
  <c r="N25" i="35"/>
  <c r="M25" i="35"/>
  <c r="L25" i="35"/>
  <c r="J25" i="35"/>
  <c r="I25" i="35"/>
  <c r="H25" i="35"/>
  <c r="N23" i="35"/>
  <c r="M23" i="35"/>
  <c r="L23" i="35"/>
  <c r="J23" i="35"/>
  <c r="I23" i="35"/>
  <c r="H23" i="35"/>
  <c r="O22" i="35"/>
  <c r="K22" i="35"/>
  <c r="O21" i="35"/>
  <c r="Q21" i="35" s="1"/>
  <c r="K21" i="35"/>
  <c r="O20" i="35"/>
  <c r="K20" i="35"/>
  <c r="O19" i="35"/>
  <c r="Q19" i="35" s="1"/>
  <c r="K19" i="35"/>
  <c r="O18" i="35"/>
  <c r="K18" i="35"/>
  <c r="O17" i="35"/>
  <c r="Q17" i="35" s="1"/>
  <c r="K17" i="35"/>
  <c r="O16" i="35"/>
  <c r="K16" i="35"/>
  <c r="K23" i="35" s="1"/>
  <c r="N14" i="35"/>
  <c r="M14" i="35"/>
  <c r="L14" i="35"/>
  <c r="J14" i="35"/>
  <c r="I14" i="35"/>
  <c r="H14" i="35"/>
  <c r="O13" i="35"/>
  <c r="K13" i="35"/>
  <c r="Q13" i="35" s="1"/>
  <c r="R13" i="35" s="1"/>
  <c r="O12" i="35"/>
  <c r="K12" i="35"/>
  <c r="O11" i="35"/>
  <c r="K11" i="35"/>
  <c r="Q11" i="35" s="1"/>
  <c r="O10" i="35"/>
  <c r="K10" i="35"/>
  <c r="O9" i="35"/>
  <c r="K9" i="35"/>
  <c r="Q9" i="35" s="1"/>
  <c r="O8" i="35"/>
  <c r="K8" i="35"/>
  <c r="O7" i="35"/>
  <c r="K7" i="35"/>
  <c r="V59" i="2"/>
  <c r="U59" i="2"/>
  <c r="T59" i="2"/>
  <c r="T61" i="2" s="1"/>
  <c r="H24" i="14" s="1"/>
  <c r="S59" i="2"/>
  <c r="R59" i="2"/>
  <c r="Q59" i="2"/>
  <c r="O59" i="2"/>
  <c r="N59" i="2"/>
  <c r="M59" i="2"/>
  <c r="L59" i="2"/>
  <c r="K59" i="2"/>
  <c r="J59" i="2"/>
  <c r="I59" i="2"/>
  <c r="H59" i="2"/>
  <c r="P57" i="2"/>
  <c r="AD57" i="2" s="1"/>
  <c r="P56" i="2"/>
  <c r="AD56" i="2" s="1"/>
  <c r="AA51" i="2"/>
  <c r="AA61" i="2" s="1"/>
  <c r="X51" i="2"/>
  <c r="X61" i="2" s="1"/>
  <c r="H28" i="14" s="1"/>
  <c r="U51" i="2"/>
  <c r="S51" i="2"/>
  <c r="S61" i="2" s="1"/>
  <c r="H23" i="14" s="1"/>
  <c r="R51" i="2"/>
  <c r="R61" i="2" s="1"/>
  <c r="H76" i="21" s="1"/>
  <c r="O76" i="21" s="1"/>
  <c r="O51" i="2"/>
  <c r="O61" i="2" s="1"/>
  <c r="H19" i="14" s="1"/>
  <c r="N51" i="2"/>
  <c r="M51" i="2"/>
  <c r="L51" i="2"/>
  <c r="K51" i="2"/>
  <c r="K61" i="2" s="1"/>
  <c r="H15" i="14" s="1"/>
  <c r="J51" i="2"/>
  <c r="I51" i="2"/>
  <c r="H51" i="2"/>
  <c r="P46" i="2"/>
  <c r="AD46" i="2" s="1"/>
  <c r="P45" i="2"/>
  <c r="AD45" i="2" s="1"/>
  <c r="P44" i="2"/>
  <c r="AD44" i="2" s="1"/>
  <c r="P43" i="2"/>
  <c r="AD43" i="2" s="1"/>
  <c r="P42" i="2"/>
  <c r="AD42" i="2" s="1"/>
  <c r="P41" i="2"/>
  <c r="AD41" i="2" s="1"/>
  <c r="P40" i="2"/>
  <c r="AD40" i="2" s="1"/>
  <c r="P39" i="2"/>
  <c r="AD39" i="2" s="1"/>
  <c r="P38" i="2"/>
  <c r="AD38" i="2" s="1"/>
  <c r="P37" i="2"/>
  <c r="AD37" i="2" s="1"/>
  <c r="P36" i="2"/>
  <c r="AD36" i="2" s="1"/>
  <c r="P35" i="2"/>
  <c r="AD35" i="2" s="1"/>
  <c r="P34" i="2"/>
  <c r="AD34" i="2" s="1"/>
  <c r="P33" i="2"/>
  <c r="AD33" i="2" s="1"/>
  <c r="P32" i="2"/>
  <c r="AD32" i="2" s="1"/>
  <c r="P31" i="2"/>
  <c r="AD31" i="2" s="1"/>
  <c r="P30" i="2"/>
  <c r="AD30" i="2" s="1"/>
  <c r="P29" i="2"/>
  <c r="AD29" i="2" s="1"/>
  <c r="P28" i="2"/>
  <c r="AD28" i="2" s="1"/>
  <c r="P27" i="2"/>
  <c r="AD27" i="2" s="1"/>
  <c r="P26" i="2"/>
  <c r="AD26" i="2" s="1"/>
  <c r="P25" i="2"/>
  <c r="AD25" i="2" s="1"/>
  <c r="P24" i="2"/>
  <c r="AD24" i="2" s="1"/>
  <c r="P23" i="2"/>
  <c r="AD23" i="2" s="1"/>
  <c r="P22" i="2"/>
  <c r="AD22" i="2" s="1"/>
  <c r="P21" i="2"/>
  <c r="AD21" i="2" s="1"/>
  <c r="P20" i="2"/>
  <c r="AD20" i="2" s="1"/>
  <c r="P19" i="2"/>
  <c r="AD19" i="2" s="1"/>
  <c r="P18" i="2"/>
  <c r="AD18" i="2" s="1"/>
  <c r="P17" i="2"/>
  <c r="AD17" i="2" s="1"/>
  <c r="P16" i="2"/>
  <c r="AD16" i="2" s="1"/>
  <c r="P15" i="2"/>
  <c r="AD15" i="2" s="1"/>
  <c r="P14" i="2"/>
  <c r="AD14" i="2" s="1"/>
  <c r="P13" i="2"/>
  <c r="AD13" i="2" s="1"/>
  <c r="P12" i="2"/>
  <c r="AD12" i="2" s="1"/>
  <c r="P11" i="2"/>
  <c r="AD11" i="2" s="1"/>
  <c r="P10" i="2"/>
  <c r="AD10" i="2" s="1"/>
  <c r="P9" i="2"/>
  <c r="AD9" i="2" s="1"/>
  <c r="P8" i="2"/>
  <c r="AD8" i="2" s="1"/>
  <c r="P7" i="2"/>
  <c r="AD7" i="2" s="1"/>
  <c r="P6" i="2"/>
  <c r="J55" i="11"/>
  <c r="I55" i="11"/>
  <c r="H55" i="11"/>
  <c r="K54" i="11"/>
  <c r="L54" i="11" s="1"/>
  <c r="K53" i="11"/>
  <c r="L53" i="11" s="1"/>
  <c r="K52" i="11"/>
  <c r="L52" i="11" s="1"/>
  <c r="L51" i="11"/>
  <c r="K51" i="11"/>
  <c r="K50" i="11"/>
  <c r="L50" i="11" s="1"/>
  <c r="L49" i="11"/>
  <c r="K49" i="11"/>
  <c r="K48" i="11"/>
  <c r="L48" i="11" s="1"/>
  <c r="L47" i="11"/>
  <c r="K47" i="11"/>
  <c r="J44" i="11"/>
  <c r="I44" i="11"/>
  <c r="H44" i="11"/>
  <c r="K44" i="11" s="1"/>
  <c r="L43" i="11"/>
  <c r="K43" i="11"/>
  <c r="K42" i="11"/>
  <c r="L42" i="11" s="1"/>
  <c r="K41" i="11"/>
  <c r="L41" i="11" s="1"/>
  <c r="K40" i="11"/>
  <c r="L40" i="11" s="1"/>
  <c r="K39" i="11"/>
  <c r="L39" i="11" s="1"/>
  <c r="K38" i="11"/>
  <c r="L38" i="11" s="1"/>
  <c r="K37" i="11"/>
  <c r="L37" i="11" s="1"/>
  <c r="K36" i="11"/>
  <c r="L36" i="11" s="1"/>
  <c r="K35" i="11"/>
  <c r="L35" i="11" s="1"/>
  <c r="K34" i="11"/>
  <c r="L34" i="11" s="1"/>
  <c r="J31" i="11"/>
  <c r="J57" i="11" s="1"/>
  <c r="J60" i="11" s="1"/>
  <c r="I31" i="11"/>
  <c r="K29" i="11"/>
  <c r="L29" i="11" s="1"/>
  <c r="K28" i="11"/>
  <c r="L28" i="11" s="1"/>
  <c r="K27" i="11"/>
  <c r="L27" i="11" s="1"/>
  <c r="K26" i="11"/>
  <c r="L26" i="11" s="1"/>
  <c r="L25" i="11"/>
  <c r="K25" i="11"/>
  <c r="K22" i="11"/>
  <c r="L22" i="11" s="1"/>
  <c r="H21" i="11"/>
  <c r="H20" i="11"/>
  <c r="K20" i="11" s="1"/>
  <c r="K19" i="11"/>
  <c r="L19" i="11" s="1"/>
  <c r="K18" i="11"/>
  <c r="L18" i="11" s="1"/>
  <c r="K17" i="11"/>
  <c r="L17" i="11" s="1"/>
  <c r="K16" i="11"/>
  <c r="L16" i="11" s="1"/>
  <c r="L15" i="11"/>
  <c r="K15" i="11"/>
  <c r="K14" i="11"/>
  <c r="L14" i="11" s="1"/>
  <c r="H13" i="11"/>
  <c r="K13" i="11" s="1"/>
  <c r="K12" i="11"/>
  <c r="L12" i="11" s="1"/>
  <c r="K11" i="11"/>
  <c r="L11" i="11" s="1"/>
  <c r="K10" i="11"/>
  <c r="L10" i="11" s="1"/>
  <c r="L9" i="11"/>
  <c r="K9" i="11"/>
  <c r="J19" i="22"/>
  <c r="I19" i="22"/>
  <c r="H19" i="22"/>
  <c r="K19" i="22" s="1"/>
  <c r="L18" i="22"/>
  <c r="K18" i="22"/>
  <c r="K17" i="22"/>
  <c r="L17" i="22" s="1"/>
  <c r="K16" i="22"/>
  <c r="L16" i="22" s="1"/>
  <c r="L15" i="22"/>
  <c r="K15" i="22"/>
  <c r="K14" i="22"/>
  <c r="L14" i="22" s="1"/>
  <c r="J11" i="22"/>
  <c r="I11" i="22"/>
  <c r="H11" i="22"/>
  <c r="K10" i="22"/>
  <c r="L10" i="22" s="1"/>
  <c r="L9" i="22"/>
  <c r="K9" i="22"/>
  <c r="K8" i="22"/>
  <c r="L8" i="22" s="1"/>
  <c r="K7" i="22"/>
  <c r="L7" i="22" s="1"/>
  <c r="K6" i="22"/>
  <c r="L6" i="22" s="1"/>
  <c r="J59" i="10"/>
  <c r="J63" i="10" s="1"/>
  <c r="I59" i="10"/>
  <c r="I63" i="10" s="1"/>
  <c r="J49" i="10"/>
  <c r="I49" i="10"/>
  <c r="H49" i="10"/>
  <c r="K48" i="10"/>
  <c r="L48" i="10" s="1"/>
  <c r="L47" i="10"/>
  <c r="K47" i="10"/>
  <c r="J44" i="10"/>
  <c r="I44" i="10"/>
  <c r="H44" i="10"/>
  <c r="K44" i="10" s="1"/>
  <c r="K43" i="10"/>
  <c r="L43" i="10" s="1"/>
  <c r="K42" i="10"/>
  <c r="L42" i="10" s="1"/>
  <c r="K41" i="10"/>
  <c r="L41" i="10" s="1"/>
  <c r="L40" i="10"/>
  <c r="K40" i="10"/>
  <c r="J35" i="10"/>
  <c r="I35" i="10"/>
  <c r="K33" i="10"/>
  <c r="L33" i="10" s="1"/>
  <c r="J31" i="10"/>
  <c r="I31" i="10"/>
  <c r="H50" i="21" s="1"/>
  <c r="H31" i="10"/>
  <c r="H11" i="27" s="1"/>
  <c r="L30" i="10"/>
  <c r="K30" i="10"/>
  <c r="K29" i="10"/>
  <c r="L29" i="10" s="1"/>
  <c r="L28" i="10"/>
  <c r="K28" i="10"/>
  <c r="K27" i="10"/>
  <c r="L27" i="10" s="1"/>
  <c r="K26" i="10"/>
  <c r="L26" i="10" s="1"/>
  <c r="J23" i="10"/>
  <c r="I23" i="10"/>
  <c r="K22" i="10"/>
  <c r="L22" i="10" s="1"/>
  <c r="L19" i="10"/>
  <c r="K19" i="10"/>
  <c r="K18" i="10"/>
  <c r="L18" i="10" s="1"/>
  <c r="J15" i="10"/>
  <c r="I15" i="10"/>
  <c r="H46" i="21" s="1"/>
  <c r="H15" i="10"/>
  <c r="H45" i="21" s="1"/>
  <c r="K14" i="10"/>
  <c r="L14" i="10" s="1"/>
  <c r="K13" i="10"/>
  <c r="L13" i="10" s="1"/>
  <c r="K12" i="10"/>
  <c r="L12" i="10" s="1"/>
  <c r="K11" i="10"/>
  <c r="L11" i="10" s="1"/>
  <c r="K10" i="10"/>
  <c r="L10" i="10" s="1"/>
  <c r="J9" i="10"/>
  <c r="I9" i="10"/>
  <c r="H9" i="10"/>
  <c r="L8" i="10"/>
  <c r="K8" i="10"/>
  <c r="K7" i="10"/>
  <c r="L7" i="10" s="1"/>
  <c r="L6" i="10"/>
  <c r="K6" i="10"/>
  <c r="M22" i="12"/>
  <c r="K22" i="12"/>
  <c r="J22" i="12"/>
  <c r="I22" i="12"/>
  <c r="H22" i="12"/>
  <c r="L21" i="12"/>
  <c r="N21" i="12" s="1"/>
  <c r="L20" i="12"/>
  <c r="N20" i="12" s="1"/>
  <c r="N19" i="12"/>
  <c r="L19" i="12"/>
  <c r="L18" i="12"/>
  <c r="N18" i="12" s="1"/>
  <c r="K15" i="12"/>
  <c r="K24" i="12" s="1"/>
  <c r="H58" i="10" s="1"/>
  <c r="AC13" i="12"/>
  <c r="AB13" i="12"/>
  <c r="AA13" i="12"/>
  <c r="Z13" i="12"/>
  <c r="Y13" i="12"/>
  <c r="X13" i="12"/>
  <c r="W13" i="12"/>
  <c r="M13" i="12"/>
  <c r="M15" i="12" s="1"/>
  <c r="M24" i="12" s="1"/>
  <c r="H61" i="10" s="1"/>
  <c r="K13" i="12"/>
  <c r="J13" i="12"/>
  <c r="J15" i="12" s="1"/>
  <c r="J24" i="12" s="1"/>
  <c r="H57" i="10" s="1"/>
  <c r="I13" i="12"/>
  <c r="I15" i="12" s="1"/>
  <c r="I24" i="12" s="1"/>
  <c r="H55" i="10" s="1"/>
  <c r="H13" i="12"/>
  <c r="H15" i="12" s="1"/>
  <c r="L12" i="12"/>
  <c r="N12" i="12" s="1"/>
  <c r="L11" i="12"/>
  <c r="N11" i="12" s="1"/>
  <c r="L10" i="12"/>
  <c r="N10" i="12" s="1"/>
  <c r="L9" i="12"/>
  <c r="N9" i="12" s="1"/>
  <c r="L6" i="12"/>
  <c r="N6" i="12" s="1"/>
  <c r="K55" i="9"/>
  <c r="L55" i="9" s="1"/>
  <c r="K51" i="9"/>
  <c r="L51" i="9" s="1"/>
  <c r="J50" i="9"/>
  <c r="J52" i="9" s="1"/>
  <c r="I50" i="9"/>
  <c r="I52" i="9" s="1"/>
  <c r="H50" i="9"/>
  <c r="K49" i="9"/>
  <c r="L49" i="9" s="1"/>
  <c r="L48" i="9"/>
  <c r="K48" i="9"/>
  <c r="K47" i="9"/>
  <c r="L47" i="9" s="1"/>
  <c r="L46" i="9"/>
  <c r="K46" i="9"/>
  <c r="K41" i="9"/>
  <c r="L41" i="9" s="1"/>
  <c r="K40" i="9"/>
  <c r="L40" i="9" s="1"/>
  <c r="K39" i="9"/>
  <c r="L39" i="9" s="1"/>
  <c r="K38" i="9"/>
  <c r="L38" i="9" s="1"/>
  <c r="J34" i="9"/>
  <c r="I34" i="9"/>
  <c r="H34" i="9"/>
  <c r="K33" i="9"/>
  <c r="L33" i="9" s="1"/>
  <c r="K32" i="9"/>
  <c r="L32" i="9" s="1"/>
  <c r="K27" i="9"/>
  <c r="L27" i="9" s="1"/>
  <c r="K26" i="9"/>
  <c r="L26" i="9" s="1"/>
  <c r="K25" i="9"/>
  <c r="L25" i="9" s="1"/>
  <c r="K24" i="9"/>
  <c r="L24" i="9" s="1"/>
  <c r="J20" i="9"/>
  <c r="I20" i="9"/>
  <c r="I35" i="21" s="1"/>
  <c r="H20" i="9"/>
  <c r="K20" i="9" s="1"/>
  <c r="L19" i="9"/>
  <c r="K19" i="9"/>
  <c r="K18" i="9"/>
  <c r="L18" i="9" s="1"/>
  <c r="L17" i="9"/>
  <c r="K17" i="9"/>
  <c r="K16" i="9"/>
  <c r="L16" i="9" s="1"/>
  <c r="L15" i="9"/>
  <c r="K15" i="9"/>
  <c r="J12" i="9"/>
  <c r="J22" i="9" s="1"/>
  <c r="J29" i="9" s="1"/>
  <c r="I12" i="9"/>
  <c r="H33" i="21" s="1"/>
  <c r="H12" i="9"/>
  <c r="H12" i="27" s="1"/>
  <c r="K11" i="9"/>
  <c r="L11" i="9" s="1"/>
  <c r="K10" i="9"/>
  <c r="L10" i="9" s="1"/>
  <c r="L9" i="9"/>
  <c r="K9" i="9"/>
  <c r="K8" i="9"/>
  <c r="L8" i="9" s="1"/>
  <c r="K7" i="9"/>
  <c r="L7" i="9" s="1"/>
  <c r="K6" i="9"/>
  <c r="L6" i="9" s="1"/>
  <c r="H158" i="21"/>
  <c r="H157" i="21"/>
  <c r="H151" i="21"/>
  <c r="H150" i="21"/>
  <c r="H147" i="21"/>
  <c r="H146" i="21"/>
  <c r="H145" i="21"/>
  <c r="H144" i="21"/>
  <c r="H141" i="21"/>
  <c r="H140" i="21"/>
  <c r="H139" i="21"/>
  <c r="H138" i="21"/>
  <c r="H136" i="21"/>
  <c r="H134" i="21"/>
  <c r="H133" i="21"/>
  <c r="H132" i="21"/>
  <c r="H131" i="21"/>
  <c r="H130" i="21"/>
  <c r="H129" i="21"/>
  <c r="H126" i="21"/>
  <c r="H124" i="21"/>
  <c r="H123" i="21"/>
  <c r="H122" i="21"/>
  <c r="H121" i="21"/>
  <c r="H120" i="21"/>
  <c r="H117" i="21"/>
  <c r="H116" i="21"/>
  <c r="H115" i="21"/>
  <c r="H114" i="21"/>
  <c r="H108" i="21"/>
  <c r="H106" i="21"/>
  <c r="H103" i="21"/>
  <c r="O103" i="21" s="1"/>
  <c r="H102" i="21"/>
  <c r="I98" i="21"/>
  <c r="H98" i="21"/>
  <c r="N98" i="21" s="1"/>
  <c r="I93" i="21"/>
  <c r="H93" i="21"/>
  <c r="O93" i="21" s="1"/>
  <c r="H91" i="21"/>
  <c r="O91" i="21" s="1"/>
  <c r="I87" i="21"/>
  <c r="I81" i="21"/>
  <c r="H81" i="21"/>
  <c r="O81" i="21" s="1"/>
  <c r="H72" i="21"/>
  <c r="I71" i="21"/>
  <c r="H71" i="21"/>
  <c r="O71" i="21" s="1"/>
  <c r="O68" i="21"/>
  <c r="I68" i="21"/>
  <c r="H68" i="21"/>
  <c r="N68" i="21" s="1"/>
  <c r="I67" i="21"/>
  <c r="H67" i="21"/>
  <c r="N67" i="21" s="1"/>
  <c r="O66" i="21"/>
  <c r="I66" i="21"/>
  <c r="H66" i="21"/>
  <c r="N66" i="21" s="1"/>
  <c r="I65" i="21"/>
  <c r="H65" i="21"/>
  <c r="O65" i="21" s="1"/>
  <c r="I64" i="21"/>
  <c r="H64" i="21"/>
  <c r="N64" i="21" s="1"/>
  <c r="I63" i="21"/>
  <c r="H63" i="21"/>
  <c r="N63" i="21" s="1"/>
  <c r="I60" i="21"/>
  <c r="H60" i="21"/>
  <c r="N60" i="21" s="1"/>
  <c r="I56" i="21"/>
  <c r="H56" i="21"/>
  <c r="N56" i="21" s="1"/>
  <c r="I55" i="21"/>
  <c r="H55" i="21"/>
  <c r="O55" i="21" s="1"/>
  <c r="O54" i="21"/>
  <c r="N54" i="21"/>
  <c r="I54" i="21"/>
  <c r="H54" i="21"/>
  <c r="O53" i="21"/>
  <c r="N53" i="21"/>
  <c r="I53" i="21"/>
  <c r="H53" i="21"/>
  <c r="O48" i="21"/>
  <c r="N48" i="21"/>
  <c r="I48" i="21"/>
  <c r="H48" i="21"/>
  <c r="I39" i="21"/>
  <c r="H39" i="21"/>
  <c r="O39" i="21" s="1"/>
  <c r="I38" i="21"/>
  <c r="H38" i="21"/>
  <c r="O38" i="21" s="1"/>
  <c r="I36" i="21"/>
  <c r="O35" i="21"/>
  <c r="H35" i="21"/>
  <c r="N35" i="21" s="1"/>
  <c r="I34" i="21"/>
  <c r="I32" i="21"/>
  <c r="I31" i="21"/>
  <c r="H31" i="21"/>
  <c r="O31" i="21" s="1"/>
  <c r="I30" i="21"/>
  <c r="H30" i="21"/>
  <c r="O30" i="21" s="1"/>
  <c r="I29" i="21"/>
  <c r="H29" i="21"/>
  <c r="O29" i="21" s="1"/>
  <c r="I28" i="21"/>
  <c r="H28" i="21"/>
  <c r="O28" i="21" s="1"/>
  <c r="I27" i="21"/>
  <c r="H27" i="21"/>
  <c r="O27" i="21" s="1"/>
  <c r="I26" i="21"/>
  <c r="H26" i="21"/>
  <c r="O26" i="21" s="1"/>
  <c r="H99" i="21" l="1"/>
  <c r="N99" i="21" s="1"/>
  <c r="H34" i="21"/>
  <c r="N34" i="21" s="1"/>
  <c r="O56" i="21"/>
  <c r="O60" i="21"/>
  <c r="O63" i="21"/>
  <c r="O64" i="21"/>
  <c r="H107" i="21"/>
  <c r="H125" i="21"/>
  <c r="H149" i="21"/>
  <c r="K9" i="10"/>
  <c r="L9" i="10" s="1"/>
  <c r="J37" i="10"/>
  <c r="J51" i="10" s="1"/>
  <c r="Q8" i="35"/>
  <c r="Q10" i="35"/>
  <c r="Q12" i="35"/>
  <c r="R12" i="35" s="1"/>
  <c r="R17" i="35"/>
  <c r="R19" i="35"/>
  <c r="R21" i="35"/>
  <c r="K26" i="35"/>
  <c r="O30" i="35"/>
  <c r="O31" i="35"/>
  <c r="J102" i="3"/>
  <c r="N222" i="21"/>
  <c r="N164" i="21"/>
  <c r="Z61" i="2"/>
  <c r="I103" i="21"/>
  <c r="H118" i="21"/>
  <c r="H128" i="21"/>
  <c r="J36" i="9"/>
  <c r="J43" i="9" s="1"/>
  <c r="I61" i="2"/>
  <c r="H13" i="14" s="1"/>
  <c r="M61" i="2"/>
  <c r="H17" i="14" s="1"/>
  <c r="AD59" i="2"/>
  <c r="O12" i="3"/>
  <c r="O18" i="3"/>
  <c r="O24" i="3"/>
  <c r="O40" i="3"/>
  <c r="H137" i="21"/>
  <c r="I99" i="21"/>
  <c r="H142" i="21"/>
  <c r="H153" i="21"/>
  <c r="H159" i="21"/>
  <c r="K34" i="9"/>
  <c r="K49" i="10"/>
  <c r="L49" i="10" s="1"/>
  <c r="K11" i="22"/>
  <c r="I57" i="11"/>
  <c r="I60" i="11" s="1"/>
  <c r="J61" i="2"/>
  <c r="H14" i="14" s="1"/>
  <c r="N61" i="2"/>
  <c r="H18" i="14" s="1"/>
  <c r="U61" i="2"/>
  <c r="Q18" i="35"/>
  <c r="Q20" i="35"/>
  <c r="Q22" i="35"/>
  <c r="R22" i="35" s="1"/>
  <c r="O26" i="35"/>
  <c r="O16" i="3"/>
  <c r="O44" i="3"/>
  <c r="J67" i="3"/>
  <c r="O67" i="3" s="1"/>
  <c r="Y61" i="2"/>
  <c r="N224" i="21"/>
  <c r="I130" i="21"/>
  <c r="N223" i="21"/>
  <c r="I214" i="21"/>
  <c r="N209" i="21"/>
  <c r="N208" i="21"/>
  <c r="S33" i="31"/>
  <c r="N207" i="21"/>
  <c r="N204" i="21"/>
  <c r="H84" i="21"/>
  <c r="O84" i="21" s="1"/>
  <c r="I76" i="21"/>
  <c r="O57" i="3"/>
  <c r="M104" i="3"/>
  <c r="I171" i="21" s="1"/>
  <c r="H83" i="21"/>
  <c r="O83" i="21" s="1"/>
  <c r="J84" i="3"/>
  <c r="J97" i="3" s="1"/>
  <c r="I104" i="3"/>
  <c r="H119" i="21"/>
  <c r="O119" i="21" s="1"/>
  <c r="H127" i="21"/>
  <c r="H135" i="21"/>
  <c r="N135" i="21" s="1"/>
  <c r="H143" i="21"/>
  <c r="O10" i="3"/>
  <c r="O38" i="3"/>
  <c r="H155" i="21"/>
  <c r="O155" i="21" s="1"/>
  <c r="O6" i="3"/>
  <c r="O14" i="3"/>
  <c r="O22" i="3"/>
  <c r="O30" i="3"/>
  <c r="O42" i="3"/>
  <c r="H110" i="21"/>
  <c r="H51" i="14"/>
  <c r="I97" i="21" s="1"/>
  <c r="Q54" i="35"/>
  <c r="Q39" i="35"/>
  <c r="O42" i="35"/>
  <c r="R37" i="35"/>
  <c r="O14" i="35"/>
  <c r="O27" i="35"/>
  <c r="O29" i="35"/>
  <c r="Q7" i="35"/>
  <c r="R7" i="35" s="1"/>
  <c r="Q26" i="35"/>
  <c r="N93" i="21"/>
  <c r="Q38" i="35"/>
  <c r="R38" i="35" s="1"/>
  <c r="K27" i="35"/>
  <c r="K29" i="35"/>
  <c r="R11" i="35"/>
  <c r="J32" i="35"/>
  <c r="J44" i="35" s="1"/>
  <c r="I88" i="21"/>
  <c r="R10" i="35"/>
  <c r="I32" i="35"/>
  <c r="I44" i="35" s="1"/>
  <c r="K31" i="35"/>
  <c r="AC61" i="2"/>
  <c r="I86" i="21" s="1"/>
  <c r="W61" i="2"/>
  <c r="I80" i="21"/>
  <c r="I77" i="21"/>
  <c r="H33" i="14"/>
  <c r="I85" i="21"/>
  <c r="H85" i="21"/>
  <c r="H32" i="14"/>
  <c r="H36" i="21"/>
  <c r="I83" i="21"/>
  <c r="H30" i="14"/>
  <c r="I78" i="21"/>
  <c r="N81" i="21"/>
  <c r="H61" i="2"/>
  <c r="H12" i="14" s="1"/>
  <c r="H20" i="14" s="1"/>
  <c r="L61" i="2"/>
  <c r="H16" i="14" s="1"/>
  <c r="O67" i="21"/>
  <c r="N65" i="21"/>
  <c r="H62" i="21"/>
  <c r="O62" i="21" s="1"/>
  <c r="L19" i="22"/>
  <c r="L44" i="10"/>
  <c r="N55" i="21"/>
  <c r="L34" i="9"/>
  <c r="L13" i="11"/>
  <c r="N38" i="21"/>
  <c r="N39" i="21"/>
  <c r="O34" i="21"/>
  <c r="H32" i="21"/>
  <c r="H8" i="27"/>
  <c r="I8" i="27" s="1"/>
  <c r="N26" i="21"/>
  <c r="N27" i="21"/>
  <c r="N28" i="21"/>
  <c r="N29" i="21"/>
  <c r="N30" i="21"/>
  <c r="N31" i="21"/>
  <c r="N103" i="21"/>
  <c r="K58" i="10"/>
  <c r="L58" i="10"/>
  <c r="H42" i="21"/>
  <c r="I42" i="21"/>
  <c r="N45" i="21"/>
  <c r="O45" i="21"/>
  <c r="O33" i="21"/>
  <c r="N33" i="21"/>
  <c r="L15" i="12"/>
  <c r="N15" i="12" s="1"/>
  <c r="H24" i="12"/>
  <c r="K61" i="10"/>
  <c r="L61" i="10" s="1"/>
  <c r="G8" i="27"/>
  <c r="K57" i="10"/>
  <c r="L57" i="10" s="1"/>
  <c r="H44" i="21"/>
  <c r="I44" i="21"/>
  <c r="I70" i="21"/>
  <c r="H70" i="21"/>
  <c r="H59" i="11"/>
  <c r="H41" i="21"/>
  <c r="I41" i="21"/>
  <c r="N148" i="21"/>
  <c r="O148" i="21"/>
  <c r="K55" i="10"/>
  <c r="L55" i="10" s="1"/>
  <c r="O50" i="21"/>
  <c r="N50" i="21"/>
  <c r="N22" i="12"/>
  <c r="N13" i="12"/>
  <c r="O46" i="21"/>
  <c r="N46" i="21"/>
  <c r="O125" i="21"/>
  <c r="N125" i="21"/>
  <c r="O137" i="21"/>
  <c r="N137" i="21"/>
  <c r="O153" i="21"/>
  <c r="N153" i="21"/>
  <c r="L13" i="12"/>
  <c r="L44" i="11"/>
  <c r="I154" i="21"/>
  <c r="O41" i="3"/>
  <c r="I192" i="21"/>
  <c r="H194" i="21"/>
  <c r="H195" i="21"/>
  <c r="H192" i="21"/>
  <c r="I193" i="21"/>
  <c r="H193" i="21"/>
  <c r="I194" i="21"/>
  <c r="I195" i="21"/>
  <c r="H17" i="7"/>
  <c r="H90" i="21"/>
  <c r="N114" i="21"/>
  <c r="O114" i="21"/>
  <c r="N126" i="21"/>
  <c r="O126" i="21"/>
  <c r="N138" i="21"/>
  <c r="O138" i="21"/>
  <c r="N146" i="21"/>
  <c r="O146" i="21"/>
  <c r="H154" i="21"/>
  <c r="L22" i="12"/>
  <c r="I33" i="21"/>
  <c r="I45" i="21"/>
  <c r="I46" i="21"/>
  <c r="I49" i="21"/>
  <c r="I50" i="21"/>
  <c r="I57" i="21"/>
  <c r="I58" i="21"/>
  <c r="I59" i="21"/>
  <c r="I61" i="21"/>
  <c r="I62" i="21"/>
  <c r="N72" i="21"/>
  <c r="O72" i="21"/>
  <c r="H77" i="21"/>
  <c r="H88" i="21"/>
  <c r="I89" i="21"/>
  <c r="O98" i="21"/>
  <c r="O99" i="21"/>
  <c r="N108" i="21"/>
  <c r="O108" i="21"/>
  <c r="N112" i="21"/>
  <c r="O112" i="21"/>
  <c r="N116" i="21"/>
  <c r="O116" i="21"/>
  <c r="N120" i="21"/>
  <c r="O120" i="21"/>
  <c r="N124" i="21"/>
  <c r="O124" i="21"/>
  <c r="N128" i="21"/>
  <c r="O128" i="21"/>
  <c r="N132" i="21"/>
  <c r="O132" i="21"/>
  <c r="N136" i="21"/>
  <c r="O136" i="21"/>
  <c r="N140" i="21"/>
  <c r="O140" i="21"/>
  <c r="N144" i="21"/>
  <c r="O144" i="21"/>
  <c r="N152" i="21"/>
  <c r="O152" i="21"/>
  <c r="N156" i="21"/>
  <c r="O156" i="21"/>
  <c r="H6" i="27"/>
  <c r="I6" i="27" s="1"/>
  <c r="H5" i="27"/>
  <c r="H9" i="27"/>
  <c r="I9" i="27" s="1"/>
  <c r="H22" i="9"/>
  <c r="K50" i="9"/>
  <c r="L50" i="9" s="1"/>
  <c r="H52" i="9"/>
  <c r="K15" i="10"/>
  <c r="L15" i="10" s="1"/>
  <c r="K31" i="10"/>
  <c r="L31" i="10" s="1"/>
  <c r="L11" i="22"/>
  <c r="L20" i="11"/>
  <c r="K55" i="11"/>
  <c r="L55" i="11" s="1"/>
  <c r="R8" i="35"/>
  <c r="R18" i="35"/>
  <c r="R20" i="35"/>
  <c r="H32" i="35"/>
  <c r="H44" i="35" s="1"/>
  <c r="K25" i="35"/>
  <c r="M32" i="35"/>
  <c r="M44" i="35" s="1"/>
  <c r="N32" i="35"/>
  <c r="N44" i="35" s="1"/>
  <c r="P27" i="35"/>
  <c r="Q27" i="35"/>
  <c r="R27" i="35"/>
  <c r="Q28" i="35"/>
  <c r="P28" i="35"/>
  <c r="R28" i="35"/>
  <c r="K30" i="35"/>
  <c r="Q35" i="35"/>
  <c r="R35" i="35" s="1"/>
  <c r="P40" i="35"/>
  <c r="Q40" i="35"/>
  <c r="R40" i="35" s="1"/>
  <c r="I156" i="21"/>
  <c r="O43" i="3"/>
  <c r="O56" i="3"/>
  <c r="J62" i="3"/>
  <c r="O62" i="3" s="1"/>
  <c r="H215" i="21"/>
  <c r="I215" i="21"/>
  <c r="H218" i="21"/>
  <c r="I218" i="21"/>
  <c r="O121" i="21"/>
  <c r="N121" i="21"/>
  <c r="O133" i="21"/>
  <c r="N133" i="21"/>
  <c r="O145" i="21"/>
  <c r="N145" i="21"/>
  <c r="O157" i="21"/>
  <c r="N157" i="21"/>
  <c r="Q29" i="35"/>
  <c r="R29" i="35" s="1"/>
  <c r="I197" i="21"/>
  <c r="N84" i="21"/>
  <c r="I91" i="21"/>
  <c r="N118" i="21"/>
  <c r="O118" i="21"/>
  <c r="N134" i="21"/>
  <c r="O134" i="21"/>
  <c r="N150" i="21"/>
  <c r="O150" i="21"/>
  <c r="G13" i="27"/>
  <c r="I37" i="10"/>
  <c r="I51" i="10" s="1"/>
  <c r="K21" i="11"/>
  <c r="L21" i="11" s="1"/>
  <c r="P51" i="2"/>
  <c r="AD6" i="2"/>
  <c r="AD51" i="2" s="1"/>
  <c r="AD61" i="2" s="1"/>
  <c r="H22" i="14"/>
  <c r="I105" i="21"/>
  <c r="I152" i="21"/>
  <c r="O39" i="3"/>
  <c r="I161" i="21"/>
  <c r="H161" i="21"/>
  <c r="O48" i="3"/>
  <c r="I185" i="21"/>
  <c r="H185" i="21"/>
  <c r="O216" i="21"/>
  <c r="N216" i="21"/>
  <c r="G7" i="27"/>
  <c r="H205" i="21"/>
  <c r="I205" i="21"/>
  <c r="I84" i="21"/>
  <c r="H31" i="14"/>
  <c r="H220" i="21"/>
  <c r="O117" i="21"/>
  <c r="N117" i="21"/>
  <c r="O129" i="21"/>
  <c r="N129" i="21"/>
  <c r="O141" i="21"/>
  <c r="N141" i="21"/>
  <c r="O149" i="21"/>
  <c r="N149" i="21"/>
  <c r="I22" i="9"/>
  <c r="I29" i="9" s="1"/>
  <c r="I36" i="9" s="1"/>
  <c r="O23" i="35"/>
  <c r="Q16" i="35"/>
  <c r="R16" i="35" s="1"/>
  <c r="P31" i="35"/>
  <c r="Q31" i="35"/>
  <c r="R31" i="35" s="1"/>
  <c r="I148" i="21"/>
  <c r="O35" i="3"/>
  <c r="N106" i="21"/>
  <c r="O106" i="21"/>
  <c r="N110" i="21"/>
  <c r="O110" i="21"/>
  <c r="N122" i="21"/>
  <c r="O122" i="21"/>
  <c r="N130" i="21"/>
  <c r="O130" i="21"/>
  <c r="N142" i="21"/>
  <c r="O142" i="21"/>
  <c r="N158" i="21"/>
  <c r="O158" i="21"/>
  <c r="K21" i="10"/>
  <c r="L21" i="10" s="1"/>
  <c r="H23" i="10"/>
  <c r="H49" i="21"/>
  <c r="H57" i="21"/>
  <c r="H58" i="21"/>
  <c r="H59" i="21"/>
  <c r="H61" i="21"/>
  <c r="N71" i="21"/>
  <c r="N76" i="21"/>
  <c r="N87" i="21"/>
  <c r="H89" i="21"/>
  <c r="I90" i="21"/>
  <c r="N91" i="21"/>
  <c r="O102" i="21"/>
  <c r="N102" i="21"/>
  <c r="O107" i="21"/>
  <c r="N107" i="21"/>
  <c r="O115" i="21"/>
  <c r="N115" i="21"/>
  <c r="O123" i="21"/>
  <c r="N123" i="21"/>
  <c r="O127" i="21"/>
  <c r="N127" i="21"/>
  <c r="O131" i="21"/>
  <c r="N131" i="21"/>
  <c r="O135" i="21"/>
  <c r="O139" i="21"/>
  <c r="N139" i="21"/>
  <c r="O143" i="21"/>
  <c r="N143" i="21"/>
  <c r="O147" i="21"/>
  <c r="N147" i="21"/>
  <c r="O151" i="21"/>
  <c r="N151" i="21"/>
  <c r="O159" i="21"/>
  <c r="N159" i="21"/>
  <c r="K12" i="9"/>
  <c r="L12" i="9" s="1"/>
  <c r="H10" i="27"/>
  <c r="H13" i="27"/>
  <c r="H7" i="27"/>
  <c r="I7" i="27" s="1"/>
  <c r="L20" i="9"/>
  <c r="K20" i="10"/>
  <c r="L20" i="10" s="1"/>
  <c r="R9" i="35"/>
  <c r="K14" i="35"/>
  <c r="L32" i="35"/>
  <c r="L44" i="35" s="1"/>
  <c r="O25" i="35"/>
  <c r="O32" i="35" s="1"/>
  <c r="R26" i="35"/>
  <c r="P26" i="35"/>
  <c r="P29" i="35"/>
  <c r="P36" i="35"/>
  <c r="K42" i="35"/>
  <c r="Q36" i="35"/>
  <c r="R36" i="35" s="1"/>
  <c r="R41" i="35"/>
  <c r="I150" i="21"/>
  <c r="O37" i="3"/>
  <c r="I158" i="21"/>
  <c r="O45" i="3"/>
  <c r="P59" i="2"/>
  <c r="P37" i="35"/>
  <c r="R39" i="35"/>
  <c r="P41" i="35"/>
  <c r="R54" i="35"/>
  <c r="O34" i="3"/>
  <c r="O36" i="3"/>
  <c r="I160" i="21"/>
  <c r="H160" i="21"/>
  <c r="O47" i="3"/>
  <c r="L104" i="3"/>
  <c r="H62" i="3"/>
  <c r="H104" i="3" s="1"/>
  <c r="I184" i="21"/>
  <c r="H184" i="21"/>
  <c r="O196" i="21"/>
  <c r="N196" i="21"/>
  <c r="O214" i="21"/>
  <c r="N214" i="21"/>
  <c r="H206" i="21"/>
  <c r="I202" i="21"/>
  <c r="I206" i="21"/>
  <c r="O212" i="21"/>
  <c r="N212" i="21"/>
  <c r="H211" i="21"/>
  <c r="I211" i="21"/>
  <c r="O210" i="21"/>
  <c r="N210" i="21"/>
  <c r="I198" i="21"/>
  <c r="I177" i="21"/>
  <c r="I179" i="21"/>
  <c r="I181" i="21"/>
  <c r="H177" i="21"/>
  <c r="H179" i="21"/>
  <c r="H181" i="21"/>
  <c r="I165" i="21"/>
  <c r="I108" i="21"/>
  <c r="I112" i="21"/>
  <c r="I110" i="21"/>
  <c r="I146" i="21"/>
  <c r="O33" i="3"/>
  <c r="I162" i="21"/>
  <c r="H162" i="21"/>
  <c r="I182" i="21"/>
  <c r="H182" i="21"/>
  <c r="I189" i="21"/>
  <c r="H186" i="21"/>
  <c r="I186" i="21"/>
  <c r="I200" i="21"/>
  <c r="H201" i="21"/>
  <c r="I201" i="21"/>
  <c r="I219" i="21"/>
  <c r="H219" i="21"/>
  <c r="I199" i="21"/>
  <c r="O102" i="3"/>
  <c r="O84" i="3"/>
  <c r="O97" i="3" s="1"/>
  <c r="O70" i="3"/>
  <c r="J72" i="3"/>
  <c r="O72" i="3" s="1"/>
  <c r="O46" i="3"/>
  <c r="I212" i="21"/>
  <c r="H202" i="21"/>
  <c r="H189" i="21"/>
  <c r="O7" i="3"/>
  <c r="O9" i="3"/>
  <c r="O11" i="3"/>
  <c r="O13" i="3"/>
  <c r="O15" i="3"/>
  <c r="O19" i="3"/>
  <c r="O21" i="3"/>
  <c r="O23" i="3"/>
  <c r="O25" i="3"/>
  <c r="O27" i="3"/>
  <c r="O29" i="3"/>
  <c r="O31" i="3"/>
  <c r="I163" i="21"/>
  <c r="H163" i="21"/>
  <c r="J51" i="3"/>
  <c r="I183" i="21"/>
  <c r="H183" i="21"/>
  <c r="H187" i="21"/>
  <c r="I187" i="21"/>
  <c r="H213" i="21"/>
  <c r="I213" i="21"/>
  <c r="H217" i="21"/>
  <c r="I216" i="21"/>
  <c r="N104" i="3"/>
  <c r="I217" i="21"/>
  <c r="I210" i="21"/>
  <c r="O200" i="21"/>
  <c r="N200" i="21"/>
  <c r="V61" i="2"/>
  <c r="N225" i="21"/>
  <c r="N221" i="21"/>
  <c r="I166" i="21"/>
  <c r="H166" i="21"/>
  <c r="Q61" i="2"/>
  <c r="N203" i="21"/>
  <c r="O199" i="21"/>
  <c r="N199" i="21"/>
  <c r="N198" i="21"/>
  <c r="N197" i="21"/>
  <c r="N190" i="21"/>
  <c r="I13" i="27" l="1"/>
  <c r="N83" i="21"/>
  <c r="N62" i="21"/>
  <c r="H86" i="21"/>
  <c r="O86" i="21" s="1"/>
  <c r="I82" i="21"/>
  <c r="H29" i="14"/>
  <c r="H82" i="21"/>
  <c r="H25" i="14"/>
  <c r="H78" i="21"/>
  <c r="H171" i="21"/>
  <c r="O171" i="21" s="1"/>
  <c r="H168" i="21"/>
  <c r="N168" i="21" s="1"/>
  <c r="I174" i="21"/>
  <c r="I168" i="21"/>
  <c r="H174" i="21"/>
  <c r="N119" i="21"/>
  <c r="N155" i="21"/>
  <c r="H97" i="21"/>
  <c r="H101" i="21"/>
  <c r="H105" i="21"/>
  <c r="I101" i="21"/>
  <c r="O44" i="35"/>
  <c r="O56" i="35" s="1"/>
  <c r="O65" i="35" s="1"/>
  <c r="H95" i="21" s="1"/>
  <c r="H27" i="14"/>
  <c r="H80" i="21"/>
  <c r="N86" i="21"/>
  <c r="O36" i="21"/>
  <c r="N36" i="21"/>
  <c r="O85" i="21"/>
  <c r="N85" i="21"/>
  <c r="P61" i="2"/>
  <c r="O32" i="21"/>
  <c r="N32" i="21"/>
  <c r="O206" i="21"/>
  <c r="N206" i="21"/>
  <c r="O205" i="21"/>
  <c r="N205" i="21"/>
  <c r="O215" i="21"/>
  <c r="N215" i="21"/>
  <c r="P30" i="35"/>
  <c r="Q30" i="35"/>
  <c r="R30" i="35" s="1"/>
  <c r="O90" i="21"/>
  <c r="N90" i="21"/>
  <c r="N42" i="21"/>
  <c r="O42" i="21"/>
  <c r="O201" i="21"/>
  <c r="N201" i="21"/>
  <c r="O181" i="21"/>
  <c r="N181" i="21"/>
  <c r="O166" i="21"/>
  <c r="N166" i="21"/>
  <c r="H26" i="14"/>
  <c r="I79" i="21"/>
  <c r="H79" i="21"/>
  <c r="O183" i="21"/>
  <c r="N183" i="21"/>
  <c r="O177" i="21"/>
  <c r="N177" i="21"/>
  <c r="O211" i="21"/>
  <c r="N211" i="21"/>
  <c r="O89" i="21"/>
  <c r="N89" i="21"/>
  <c r="N58" i="21"/>
  <c r="O58" i="21"/>
  <c r="I43" i="9"/>
  <c r="I56" i="9"/>
  <c r="O161" i="21"/>
  <c r="N161" i="21"/>
  <c r="N171" i="21"/>
  <c r="Q23" i="35"/>
  <c r="R23" i="35" s="1"/>
  <c r="N154" i="21"/>
  <c r="O154" i="21"/>
  <c r="O195" i="21"/>
  <c r="N195" i="21"/>
  <c r="O70" i="21"/>
  <c r="N70" i="21"/>
  <c r="I169" i="21"/>
  <c r="I172" i="21"/>
  <c r="I175" i="21"/>
  <c r="H169" i="21"/>
  <c r="H172" i="21"/>
  <c r="H175" i="21"/>
  <c r="I167" i="21"/>
  <c r="I170" i="21"/>
  <c r="I173" i="21"/>
  <c r="H167" i="21"/>
  <c r="H170" i="21"/>
  <c r="H173" i="21"/>
  <c r="O220" i="21"/>
  <c r="N220" i="21"/>
  <c r="O185" i="21"/>
  <c r="N185" i="21"/>
  <c r="K52" i="9"/>
  <c r="L52" i="9" s="1"/>
  <c r="O193" i="21"/>
  <c r="N193" i="21"/>
  <c r="H54" i="10"/>
  <c r="L24" i="12"/>
  <c r="N24" i="12" s="1"/>
  <c r="O184" i="21"/>
  <c r="N184" i="21"/>
  <c r="O61" i="21"/>
  <c r="N61" i="21"/>
  <c r="O49" i="21"/>
  <c r="N49" i="21"/>
  <c r="H52" i="21"/>
  <c r="I52" i="21"/>
  <c r="Q25" i="35"/>
  <c r="R25" i="35" s="1"/>
  <c r="I94" i="21"/>
  <c r="K32" i="35"/>
  <c r="P25" i="35"/>
  <c r="P6" i="35" s="1"/>
  <c r="H94" i="21" s="1"/>
  <c r="O77" i="21"/>
  <c r="N77" i="21"/>
  <c r="I188" i="21"/>
  <c r="H188" i="21"/>
  <c r="O41" i="21"/>
  <c r="N41" i="21"/>
  <c r="O213" i="21"/>
  <c r="N213" i="21"/>
  <c r="O186" i="21"/>
  <c r="N186" i="21"/>
  <c r="O162" i="21"/>
  <c r="N162" i="21"/>
  <c r="O57" i="21"/>
  <c r="N57" i="21"/>
  <c r="O168" i="21"/>
  <c r="O194" i="21"/>
  <c r="N194" i="21"/>
  <c r="J104" i="3"/>
  <c r="O51" i="3"/>
  <c r="O189" i="21"/>
  <c r="N189" i="21"/>
  <c r="Q14" i="35"/>
  <c r="R14" i="35" s="1"/>
  <c r="H21" i="14"/>
  <c r="H34" i="14" s="1"/>
  <c r="H75" i="21"/>
  <c r="I75" i="21"/>
  <c r="O217" i="21"/>
  <c r="N217" i="21"/>
  <c r="O187" i="21"/>
  <c r="N187" i="21"/>
  <c r="O163" i="21"/>
  <c r="N163" i="21"/>
  <c r="O202" i="21"/>
  <c r="N202" i="21"/>
  <c r="O219" i="21"/>
  <c r="N219" i="21"/>
  <c r="O182" i="21"/>
  <c r="N182" i="21"/>
  <c r="O179" i="21"/>
  <c r="N179" i="21"/>
  <c r="O160" i="21"/>
  <c r="N160" i="21"/>
  <c r="Q42" i="35"/>
  <c r="R42" i="35" s="1"/>
  <c r="H92" i="21"/>
  <c r="I92" i="21"/>
  <c r="O59" i="21"/>
  <c r="N59" i="21"/>
  <c r="H47" i="21"/>
  <c r="G11" i="27"/>
  <c r="I11" i="27" s="1"/>
  <c r="H35" i="10"/>
  <c r="I47" i="21"/>
  <c r="K23" i="10"/>
  <c r="L23" i="10" s="1"/>
  <c r="I73" i="21"/>
  <c r="H73" i="21"/>
  <c r="O174" i="21"/>
  <c r="N174" i="21"/>
  <c r="O218" i="21"/>
  <c r="N218" i="21"/>
  <c r="I74" i="21"/>
  <c r="H74" i="21"/>
  <c r="G5" i="27"/>
  <c r="I5" i="27" s="1"/>
  <c r="K22" i="9"/>
  <c r="L22" i="9" s="1"/>
  <c r="H29" i="9"/>
  <c r="O88" i="21"/>
  <c r="N88" i="21"/>
  <c r="O192" i="21"/>
  <c r="N192" i="21"/>
  <c r="K59" i="11"/>
  <c r="L59" i="11" s="1"/>
  <c r="O44" i="21"/>
  <c r="N44" i="21"/>
  <c r="O82" i="21" l="1"/>
  <c r="N82" i="21"/>
  <c r="O78" i="21"/>
  <c r="N78" i="21"/>
  <c r="O105" i="21"/>
  <c r="N105" i="21"/>
  <c r="O101" i="21"/>
  <c r="N101" i="21"/>
  <c r="O97" i="21"/>
  <c r="N97" i="21"/>
  <c r="I95" i="21"/>
  <c r="O80" i="21"/>
  <c r="N80" i="21"/>
  <c r="N73" i="21"/>
  <c r="O73" i="21"/>
  <c r="K35" i="10"/>
  <c r="L35" i="10" s="1"/>
  <c r="H37" i="10"/>
  <c r="O52" i="21"/>
  <c r="N52" i="21"/>
  <c r="L54" i="10"/>
  <c r="K54" i="10"/>
  <c r="H59" i="10"/>
  <c r="O172" i="21"/>
  <c r="N172" i="21"/>
  <c r="O95" i="21"/>
  <c r="N95" i="21"/>
  <c r="O188" i="21"/>
  <c r="N188" i="21"/>
  <c r="O173" i="21"/>
  <c r="N173" i="21"/>
  <c r="O79" i="21"/>
  <c r="N79" i="21"/>
  <c r="N74" i="21"/>
  <c r="O74" i="21"/>
  <c r="I176" i="21"/>
  <c r="I178" i="21"/>
  <c r="I180" i="21"/>
  <c r="H176" i="21"/>
  <c r="H178" i="21"/>
  <c r="H180" i="21"/>
  <c r="O104" i="3"/>
  <c r="H165" i="21" s="1"/>
  <c r="O94" i="21"/>
  <c r="N94" i="21"/>
  <c r="O170" i="21"/>
  <c r="N170" i="21"/>
  <c r="I111" i="21"/>
  <c r="I109" i="21"/>
  <c r="I113" i="21"/>
  <c r="H111" i="21"/>
  <c r="H113" i="21"/>
  <c r="H109" i="21"/>
  <c r="O169" i="21"/>
  <c r="N169" i="21"/>
  <c r="H36" i="9"/>
  <c r="K29" i="9"/>
  <c r="L29" i="9" s="1"/>
  <c r="O47" i="21"/>
  <c r="N47" i="21"/>
  <c r="O92" i="21"/>
  <c r="N92" i="21"/>
  <c r="N75" i="21"/>
  <c r="O75" i="21"/>
  <c r="Q32" i="35"/>
  <c r="R32" i="35" s="1"/>
  <c r="K44" i="35"/>
  <c r="O167" i="21"/>
  <c r="N167" i="21"/>
  <c r="O175" i="21"/>
  <c r="N175" i="21"/>
  <c r="N165" i="21" l="1"/>
  <c r="O165" i="21"/>
  <c r="O180" i="21"/>
  <c r="N180" i="21"/>
  <c r="H56" i="9"/>
  <c r="H6" i="11"/>
  <c r="H43" i="9"/>
  <c r="K36" i="9"/>
  <c r="L36" i="9" s="1"/>
  <c r="O113" i="21"/>
  <c r="N113" i="21"/>
  <c r="O176" i="21"/>
  <c r="N176" i="21"/>
  <c r="H63" i="10"/>
  <c r="K59" i="10"/>
  <c r="L59" i="10" s="1"/>
  <c r="O109" i="21"/>
  <c r="N109" i="21"/>
  <c r="O178" i="21"/>
  <c r="N178" i="21"/>
  <c r="Q44" i="35"/>
  <c r="R44" i="35" s="1"/>
  <c r="K56" i="35"/>
  <c r="K65" i="35" s="1"/>
  <c r="H6" i="14" s="1"/>
  <c r="O111" i="21"/>
  <c r="N111" i="21"/>
  <c r="H51" i="10"/>
  <c r="K37" i="10"/>
  <c r="L37" i="10" s="1"/>
  <c r="H43" i="21" l="1"/>
  <c r="K63" i="10"/>
  <c r="L63" i="10" s="1"/>
  <c r="I43" i="21"/>
  <c r="K56" i="9"/>
  <c r="L56" i="9" s="1"/>
  <c r="K43" i="9"/>
  <c r="L43" i="9" s="1"/>
  <c r="H40" i="21"/>
  <c r="H37" i="21"/>
  <c r="I40" i="21"/>
  <c r="I37" i="21"/>
  <c r="G10" i="27"/>
  <c r="I10" i="27" s="1"/>
  <c r="K51" i="10"/>
  <c r="L51" i="10" s="1"/>
  <c r="H51" i="21"/>
  <c r="I51" i="21"/>
  <c r="I104" i="21"/>
  <c r="I96" i="21"/>
  <c r="I100" i="21"/>
  <c r="H55" i="14"/>
  <c r="H63" i="14" s="1"/>
  <c r="H104" i="21"/>
  <c r="H96" i="21"/>
  <c r="H100" i="21"/>
  <c r="K6" i="11"/>
  <c r="L6" i="11" s="1"/>
  <c r="H31" i="11"/>
  <c r="O100" i="21" l="1"/>
  <c r="N100" i="21"/>
  <c r="O40" i="21"/>
  <c r="N40" i="21"/>
  <c r="G12" i="27"/>
  <c r="I12" i="27" s="1"/>
  <c r="K31" i="11"/>
  <c r="L31" i="11" s="1"/>
  <c r="H57" i="11"/>
  <c r="O96" i="21"/>
  <c r="N96" i="21"/>
  <c r="O51" i="21"/>
  <c r="N51" i="21"/>
  <c r="N104" i="21"/>
  <c r="O104" i="21"/>
  <c r="O37" i="21"/>
  <c r="N37" i="21"/>
  <c r="N43" i="21"/>
  <c r="O43" i="21"/>
  <c r="K57" i="11" l="1"/>
  <c r="L57" i="11" s="1"/>
  <c r="H60" i="11"/>
  <c r="K60" i="11" l="1"/>
  <c r="L60" i="11" s="1"/>
  <c r="I69" i="21"/>
  <c r="H69" i="21"/>
  <c r="N69" i="21" l="1"/>
  <c r="D2" i="21" s="1"/>
  <c r="O69" i="21"/>
  <c r="D3" i="21" s="1"/>
</calcChain>
</file>

<file path=xl/sharedStrings.xml><?xml version="1.0" encoding="utf-8"?>
<sst xmlns="http://schemas.openxmlformats.org/spreadsheetml/2006/main" count="2817" uniqueCount="1528">
  <si>
    <t>List for 'Material items' question on the Title_Page &amp; Table 11</t>
  </si>
  <si>
    <t>Yes</t>
  </si>
  <si>
    <t>No</t>
  </si>
  <si>
    <t>List for variance explanation</t>
  </si>
  <si>
    <t>New/ended business activity</t>
  </si>
  <si>
    <t>Expected increase/decrease in growth</t>
  </si>
  <si>
    <t>One off event</t>
  </si>
  <si>
    <t>Accounting treatment</t>
  </si>
  <si>
    <t>Other</t>
  </si>
  <si>
    <t>2017-18 HESA Finance record - for the year ended 31 July 2018</t>
  </si>
  <si>
    <t>Version:</t>
  </si>
  <si>
    <t>Provider name:</t>
  </si>
  <si>
    <t>The University of Edinburgh</t>
  </si>
  <si>
    <t>Errors:</t>
  </si>
  <si>
    <t>UKPRN:</t>
  </si>
  <si>
    <t>10007790</t>
  </si>
  <si>
    <t>Warnings:</t>
  </si>
  <si>
    <t>Country:</t>
  </si>
  <si>
    <t>S</t>
  </si>
  <si>
    <t>RECID:</t>
  </si>
  <si>
    <t xml:space="preserve">The Finance record is split over separate worksheet tabs with one table per tab. Some tabs are specific to the location of the provider. All relevant tables must be completed.
</t>
  </si>
  <si>
    <t>Please note that when restating figures the cell colour will change to show that the figure is different from that returned to HESA last year.</t>
  </si>
  <si>
    <t>Some of these rules are exempted by switches applicable to individual providers</t>
  </si>
  <si>
    <t>For information on current exemptions please contact Institutional Liaison:</t>
  </si>
  <si>
    <r>
      <rPr>
        <sz val="10"/>
        <color rgb="FF000000"/>
        <rFont val="Arial"/>
        <family val="2"/>
      </rPr>
      <t xml:space="preserve">Email: </t>
    </r>
    <r>
      <rPr>
        <u/>
        <sz val="11"/>
        <color indexed="12"/>
        <rFont val="Arial"/>
        <family val="2"/>
      </rPr>
      <t>liaison@hesa.ac.uk</t>
    </r>
  </si>
  <si>
    <t>Telephone: 01242 211144</t>
  </si>
  <si>
    <t>Help for completing the record and COMMIT-stage validation can be found at:</t>
  </si>
  <si>
    <t>General Guidance to Tables and COMMIT-stage validation</t>
  </si>
  <si>
    <t>HESA Specific Rules</t>
  </si>
  <si>
    <t>Rule number</t>
  </si>
  <si>
    <t>Rule wording</t>
  </si>
  <si>
    <t>Cell reference</t>
  </si>
  <si>
    <t>Status</t>
  </si>
  <si>
    <t>Result</t>
  </si>
  <si>
    <t>hide this column</t>
  </si>
  <si>
    <t>QR.C17031.Table1.1</t>
  </si>
  <si>
    <t>Tuition fees and education contracts must not be zero.</t>
  </si>
  <si>
    <t>Table_1_UK, H6</t>
  </si>
  <si>
    <t>Error</t>
  </si>
  <si>
    <t>QR.C17031.Table1.2</t>
  </si>
  <si>
    <t>Funding body grants must not be zero.</t>
  </si>
  <si>
    <t>Table_1_UK, H7</t>
  </si>
  <si>
    <t>QR.C17031.Table1.3</t>
  </si>
  <si>
    <t>Research grants and contracts should not be zero.</t>
  </si>
  <si>
    <t>Table_1_UK, H8</t>
  </si>
  <si>
    <t>Warning</t>
  </si>
  <si>
    <t>QR.C17031.Table1.4</t>
  </si>
  <si>
    <t>Other income must not be zero.</t>
  </si>
  <si>
    <t>Table_1_UK, H9</t>
  </si>
  <si>
    <t>QR.C17031.Table1.5</t>
  </si>
  <si>
    <t>Investment income should not be zero.</t>
  </si>
  <si>
    <t>Table_1_UK, H10</t>
  </si>
  <si>
    <t>QR.C17031.Table1.6</t>
  </si>
  <si>
    <t>Donations and endowments should not be zero.</t>
  </si>
  <si>
    <t>Table_1_UK, H11</t>
  </si>
  <si>
    <t>QR.C17031.Table1.7</t>
  </si>
  <si>
    <t>Total income (current year) must not be zero.</t>
  </si>
  <si>
    <t>Table_1_UK, H12</t>
  </si>
  <si>
    <t>QR.C17031.Table1.8</t>
  </si>
  <si>
    <t>Total income (restated year) must not be zero.</t>
  </si>
  <si>
    <t>Table_1_UK, I12</t>
  </si>
  <si>
    <t>QR.C17031.Table1.9</t>
  </si>
  <si>
    <t>Total expenditure (current year) must not be zero.</t>
  </si>
  <si>
    <t>Table_1_UK, H20</t>
  </si>
  <si>
    <t>QR.C17031.Table1.10</t>
  </si>
  <si>
    <t>Total expenditure (restated year) must not be zero.</t>
  </si>
  <si>
    <t>Table_1_UK, I20</t>
  </si>
  <si>
    <t>QR.C17031.Table1.11</t>
  </si>
  <si>
    <t>There is a value for Taxation on research and development expenditure credit but no value for this in Table 5 Column 5 Head 4 (UK central government tax credits for research and development expenditure), or vice versa. Is this genuine?</t>
  </si>
  <si>
    <t>Table_1_UK (H32), Table_5_UK (T61)</t>
  </si>
  <si>
    <t>QR.C17031.Table1.12</t>
  </si>
  <si>
    <t>Total comprehensive income for the current year must equal the Total breakdown represented by Endowment, Restricted, Unrestricted, Revaluation reserve and Non-controlling interest.</t>
  </si>
  <si>
    <t>Table_1_UK, H43, H52</t>
  </si>
  <si>
    <t>QR.C17031.Table1.13</t>
  </si>
  <si>
    <t>Details of 'Miscellaneous types of Other comprehensive income' items must be specified in the text box if a value is entered.</t>
  </si>
  <si>
    <t>Table_1_UK, H41, M41</t>
  </si>
  <si>
    <t>QR.C17031.Table1.14</t>
  </si>
  <si>
    <t>Miscellaneous types of Other comprehensive income' text box must be blank if a value is NOT entered.</t>
  </si>
  <si>
    <t>QR.C17031.Table1.15</t>
  </si>
  <si>
    <t>Total comprehensive income for the year should equal net assets movement</t>
  </si>
  <si>
    <t>Table_1_UK (H43), Table_3_UK (H63, I63)</t>
  </si>
  <si>
    <t>QR.C17031.Table2.1</t>
  </si>
  <si>
    <t>The total column for previous year Transfers between revaluation and income and expenditure reserve should be zero.</t>
  </si>
  <si>
    <t>Table_2_UK, N11</t>
  </si>
  <si>
    <t>QR.C17031.Table2.2</t>
  </si>
  <si>
    <t>The total column for current year Transfers between revaluation and income and expenditure reserve must be zero.</t>
  </si>
  <si>
    <t>Table_2_UK, N20</t>
  </si>
  <si>
    <t>QR.C17031.Table3.1</t>
  </si>
  <si>
    <t>Total reserves for current year must not be zero.</t>
  </si>
  <si>
    <t>Table_3_UK, H63</t>
  </si>
  <si>
    <t>QR.C17031.Table3.2</t>
  </si>
  <si>
    <t>Total reserves for restated year must not be zero.</t>
  </si>
  <si>
    <t>Table_3_UK, I63</t>
  </si>
  <si>
    <t>QR.C17031.Table3.3</t>
  </si>
  <si>
    <t>Total non-current assets for current year must not be zero.</t>
  </si>
  <si>
    <t>Table_3_UK, H15</t>
  </si>
  <si>
    <t>QR.C17031.Table3.4</t>
  </si>
  <si>
    <t>Total non-current assets for restated year must not be zero.</t>
  </si>
  <si>
    <t>Table_3_UK, I15</t>
  </si>
  <si>
    <t>QR.C17031.Table3.5</t>
  </si>
  <si>
    <t>Total current assets (current year) must not be zero.</t>
  </si>
  <si>
    <t>Table_3_UK, H23</t>
  </si>
  <si>
    <t>QR.C17031.Table3.6</t>
  </si>
  <si>
    <t>Total current assets (restated year) must not be zero.</t>
  </si>
  <si>
    <t>Table_3_UK, I23</t>
  </si>
  <si>
    <t>QR.C17031.Table3.7</t>
  </si>
  <si>
    <t>Total creditors (amounts falling due within one year), current year, should not be zero.</t>
  </si>
  <si>
    <t>Table_3_UK, H31</t>
  </si>
  <si>
    <t>QR.C17031.Table3.8</t>
  </si>
  <si>
    <t>Total creditors (amounts falling due within one year), restated year should not be zero.</t>
  </si>
  <si>
    <t>Table_3_UK, I31</t>
  </si>
  <si>
    <t>QR.C17031.Table3.9</t>
  </si>
  <si>
    <t>Total net assets (current year) must equal Total reserves.</t>
  </si>
  <si>
    <t>Table_3_UK, H51, H63</t>
  </si>
  <si>
    <t>QR.C17031.Table3.10</t>
  </si>
  <si>
    <t>Total net assets (restated year) must equal Total reserves.</t>
  </si>
  <si>
    <t>Table_3_UK, I51,I63</t>
  </si>
  <si>
    <t>QR.C17031.Table3.11</t>
  </si>
  <si>
    <t>Negative goodwill value (current year) must be entered as a negative.</t>
  </si>
  <si>
    <t>Table_3_UK, H8</t>
  </si>
  <si>
    <t>QR.C17031.Table3.12</t>
  </si>
  <si>
    <t>Negative goodwill value (restated year) must be entered as a negative.</t>
  </si>
  <si>
    <t>Table_3_UK, I8</t>
  </si>
  <si>
    <t>QR.C17031.Table3.13</t>
  </si>
  <si>
    <t>Fixed assets for current year must not be zero.</t>
  </si>
  <si>
    <t>Table_3_UK, H10</t>
  </si>
  <si>
    <t>QR.C17031.Table3.14</t>
  </si>
  <si>
    <t>Fixed assets for restated year must not be zero.</t>
  </si>
  <si>
    <t>Table_3_UK, I10</t>
  </si>
  <si>
    <t>QR.C17031.Table3S.1</t>
  </si>
  <si>
    <t>Investments value (current year) must be the same between tables.</t>
  </si>
  <si>
    <t>Table_3_UK (H20), Table_3_Scotland(H11)</t>
  </si>
  <si>
    <t>QR.C17031.Table3S.2</t>
  </si>
  <si>
    <t>Cash and cash equivalents value (current year) must be the same between tables.</t>
  </si>
  <si>
    <t>Table_3_UK (H21), Table_3_Scotland (H19)</t>
  </si>
  <si>
    <t>QR.C17031.Table3S.3</t>
  </si>
  <si>
    <t>Investments value (restated year) must be the same between tables.</t>
  </si>
  <si>
    <t>Table_3_UK (I20), Table_3_Scotland (I11)</t>
  </si>
  <si>
    <t>QR.C17031.Table3S.4</t>
  </si>
  <si>
    <t>Cash and cash equivalents (restated year) must be the same between tables.</t>
  </si>
  <si>
    <t>Table_3_UK (I21), Table_3_Scotland (I19)</t>
  </si>
  <si>
    <t>QR.C17031.Table3S.5</t>
  </si>
  <si>
    <t>Table_3_Scotland must be completed by providers in Scotland.</t>
  </si>
  <si>
    <t>Table_3_Scotland, H11, I11, H19, I19</t>
  </si>
  <si>
    <t>QR.C17031.Table3S.6</t>
  </si>
  <si>
    <t>Table_3_Scotland must not be completed by providers outside Scotland.</t>
  </si>
  <si>
    <t>QR.C17031.Table4.1</t>
  </si>
  <si>
    <t>Adjustment for non-cash items: Other, details of 'other' items must be specified in the text box if a value is entered.</t>
  </si>
  <si>
    <t>Table_4_UK, H22, I22, N22</t>
  </si>
  <si>
    <t>QR.C17031.Table4.2</t>
  </si>
  <si>
    <t>Adjustment for non-cash items: Other, text box must be blank if a value is NOT entered.</t>
  </si>
  <si>
    <t>QR.C17031.Table4.3</t>
  </si>
  <si>
    <t>Capital grant income for current year should not be zero.</t>
  </si>
  <si>
    <t xml:space="preserve">Table_4_UK, H29 </t>
  </si>
  <si>
    <t>QR.C17031.Table4.4</t>
  </si>
  <si>
    <t>Capital grant income for restated year should not be zero.</t>
  </si>
  <si>
    <t xml:space="preserve">Table_4_UK, I29 </t>
  </si>
  <si>
    <t>QR.C17031.Table4.5</t>
  </si>
  <si>
    <t>Capital grants receipts for current year should not be zero.</t>
  </si>
  <si>
    <t>Table_4_UK, H36</t>
  </si>
  <si>
    <t>QR.C17031.Table4.6</t>
  </si>
  <si>
    <t>Capital grants receipts for restated year should not be zero.</t>
  </si>
  <si>
    <t xml:space="preserve">Table_4_UK, I36 </t>
  </si>
  <si>
    <t>QR.C17031.Table4.7</t>
  </si>
  <si>
    <t>Cash and cash equivalents minus Bank overdrafts minus Cash and cash equivalents at the end of the year is greater than 5 (current year).</t>
  </si>
  <si>
    <t>Table_3_UK, H21, H26, Table_4_UK, H60</t>
  </si>
  <si>
    <t>QR.C17031.Table4.8</t>
  </si>
  <si>
    <t>Cash and cash equivalents minus Bank overdrafts minus Cash and cash equivalents at the end of the year is greater than 5 (restated year).</t>
  </si>
  <si>
    <t>Table_3_UK, I21, I26, Table_4_UK, I60</t>
  </si>
  <si>
    <t>QR.C17031.Table4.9</t>
  </si>
  <si>
    <t>Head 5g Payments made to acquire fixed assets should be more than head 5h Payments made to acquire intangible assets</t>
  </si>
  <si>
    <t>Table_4_UK, H40, H41</t>
  </si>
  <si>
    <t>QR.C17031.Table4.10</t>
  </si>
  <si>
    <t>Either Head 2a (Depreciation) or the sum of Heads 2a + 2b (Depreciation + Amortisation of intangibles) must equal Table_1_UK Head 2d Depreciation</t>
  </si>
  <si>
    <t>Table_4_UK (H9, H10), Table_1_UK (H18)</t>
  </si>
  <si>
    <t>QR.C17031.Table5.1</t>
  </si>
  <si>
    <t>There is a value for Total research grants in the income table but no value for this in the expenditure table, or vice versa.  Is this genuine?</t>
  </si>
  <si>
    <t>Table_5_UK (AD61),Table_8_UK(O97)</t>
  </si>
  <si>
    <t>QR.C17031.Table5.2</t>
  </si>
  <si>
    <t>There is a value for Total BEIS Research Councils in the income table but no value for this in the expenditure table, or vice versa.  Is this genuine?</t>
  </si>
  <si>
    <t>Table_5_UK (P61),Table_8_UK(O84)</t>
  </si>
  <si>
    <t>QR.C17031.Table5.3</t>
  </si>
  <si>
    <t>There is a value for UK-based charities (open competitive process) in the income table but no value for this in the expenditure table, or vice versa.  Is this genuine?</t>
  </si>
  <si>
    <t>Table_5_UK (Q61),Table_8_UK(O85)</t>
  </si>
  <si>
    <t>QR.C17031.Table5.4</t>
  </si>
  <si>
    <t>There is a value for UK-based charities (other) in the income table but no value for this in the expenditure table, or vice versa.  Is this genuine?</t>
  </si>
  <si>
    <t>Table_5_UK (R61),Table_8_UK(O86)</t>
  </si>
  <si>
    <t>QR.C17031.Table5.5</t>
  </si>
  <si>
    <t>There is a value for UK central government bodies/local authorities, health and hospital authorities in the income table but no value for this in the expenditure table, or vice versa.  Is this genuine?</t>
  </si>
  <si>
    <t>Table_5_UK (S61),Table_8_UK(O87)</t>
  </si>
  <si>
    <t>QR.C17031.Table5.6</t>
  </si>
  <si>
    <t>There is a value for UK industry, commerce and public corporations in the income table but no value for this in the expenditure table, or vice versa.  Is this genuine?</t>
  </si>
  <si>
    <t>Table_5_UK (U61),Table_8_UK(O88)</t>
  </si>
  <si>
    <t>QR.C17031.Table5.7</t>
  </si>
  <si>
    <t>There is a value for UK other sources in the income table but no value for this in the expenditure table, or vice versa.  Is this genuine?</t>
  </si>
  <si>
    <t>Table_5_UK (V61),Table_8_UK(O89)</t>
  </si>
  <si>
    <t>QR.C17031.Table5.8</t>
  </si>
  <si>
    <t>There is a value for EU government bodies in the income table but no value for this in the expenditure table, or vice versa.  Is this genuine?</t>
  </si>
  <si>
    <t>Table_5_UK (W61),Table_8_UK(O90)</t>
  </si>
  <si>
    <t>QR.C17031.Table5.9</t>
  </si>
  <si>
    <t>There is a value for EU-based charities (open competitive process) in the income table but no value for this in the expenditure table, or vice versa.  Is this genuine?</t>
  </si>
  <si>
    <t>Table_5_UK (X61),Table_8_UK(O91)</t>
  </si>
  <si>
    <t>QR.C17031.Table5.10</t>
  </si>
  <si>
    <t>There is a value for EU industry, commerce and public corporations in the income table but no value for this in the expenditure table, or vice versa.  Is this genuine?</t>
  </si>
  <si>
    <t>Table_5_UK (Y61),Table_8_UK(O92)</t>
  </si>
  <si>
    <t>QR.C17031.Table5.11</t>
  </si>
  <si>
    <t>There is a value for EU (excluding UK) other in the income table but no value for this in the expenditure table, or vice versa.  Is this genuine?</t>
  </si>
  <si>
    <t>Table_5_UK (Z61),Table_8_UK(O93)</t>
  </si>
  <si>
    <t>QR.C17031.Table5.12</t>
  </si>
  <si>
    <t>There is a value for Non-EU-based charities (open competitive process) in the income table but no value for this in the expenditure table, or vice versa.  Is this genuine?</t>
  </si>
  <si>
    <t>Table_5_UK (AA61),Table_8_UK(O94)</t>
  </si>
  <si>
    <t>QR.C17031.Table5.13</t>
  </si>
  <si>
    <t>There is a value for Non-EU industry, commerce and public corporations in the income table but no value for this in the expenditure table, or vice versa.  Is this genuine?</t>
  </si>
  <si>
    <t>Table_5_UK (AB61),Table_8_UK(O95)</t>
  </si>
  <si>
    <t>QR.C17031.Table5.14</t>
  </si>
  <si>
    <t>There is a value for Non-EU other in the income table but no value for this in the expenditure table, or vice versa.  Is this genuine?</t>
  </si>
  <si>
    <t>Table_5_UK (AC61),Table_8_UK(O96)</t>
  </si>
  <si>
    <t>QR.C17031.Table6.1</t>
  </si>
  <si>
    <t>Research training support grant income would not usually all be under: Income for general research studentships from charities.</t>
  </si>
  <si>
    <t>Table_6_UK, K61, K63</t>
  </si>
  <si>
    <t>QR.C17031.Table6.3</t>
  </si>
  <si>
    <t xml:space="preserve">If provider is in England then the sum of Table_6_UK, column 1 SLC/LEAs/SAAS/DfE(NI), Head 1ci FT UG and Head 1cii FT PGCE and Head 1ciii FT PG taught and Head 1cv PT UG must not be zero.  </t>
  </si>
  <si>
    <t>Table_6_UK, H25, H26, H27, H29</t>
  </si>
  <si>
    <t>QR.C17031.Table6.4</t>
  </si>
  <si>
    <t xml:space="preserve">If provider is in Scotland then the sum of Table_6_UK, column 1 SLC/LEAs/SAAS/DfE(NI), Head 1ai/1bi FT UG and Head 1aii/1bii FT PGCE and Head 1aiii/1biii FT PG taught and Head 1av/1bv PT UG must not be zero.  </t>
  </si>
  <si>
    <t>QR.C17031.Table6.5</t>
  </si>
  <si>
    <t xml:space="preserve">If provider is in Wales then the sum of Table_6_UK, column 1 SLC/LEAs/SAAS/DfE(NI), Head 1ai/1bi FT UG and Head 1aii/1bii FT PGCE and Head 1aiii/1biii FT PG taught and Head 1av/1bv PT UG must not be zero.  </t>
  </si>
  <si>
    <t>QR.C17031.Table6.6</t>
  </si>
  <si>
    <t xml:space="preserve">If provider is in Northern Ireland then the sum of Table_6_UK, column 1 SLC/LEAs/SAAS/DfE(NI), Head 1ai/1bi FT UG and Head 1aii/1bii FT PGCE and Head 1aiii/1biii FT PG taught and Head 1av/1bv PT UG must not be zero.  </t>
  </si>
  <si>
    <t>QR.C17031.Table6.8</t>
  </si>
  <si>
    <t>Table_6_UK Head 1dviii Total Other EU fees should not be zero</t>
  </si>
  <si>
    <t>Table_6_UK, K42</t>
  </si>
  <si>
    <t>QR.C17031.Table6.9</t>
  </si>
  <si>
    <t>Table_6_UK Head 1fviii Total Non-EU fees should not be zero</t>
  </si>
  <si>
    <t>Table_6_UK, K54</t>
  </si>
  <si>
    <t>QR.C17031.Table6.10</t>
  </si>
  <si>
    <t>Table_6_UK Head 1c, Head 1d, Head 1f, Head 2, Head 3 and Head 4 should have a total value greater than zero in more than 25% of cells</t>
  </si>
  <si>
    <t>Table_6_UK, K25, K26, K27, K28, K29, K30 K31, K35, K36, K37, K38, K39, K40, K41, K47, K48, K49, K50, K51, K52, K53, K58, K59, K61, K62</t>
  </si>
  <si>
    <t>QR.C17031.Table6.11</t>
  </si>
  <si>
    <t>Table_6_UK Head 5 Total tuition fees and education contracts must be the same as Table_1_UK Tuition fees and education contracts</t>
  </si>
  <si>
    <t>Table_6_UK, O65, Table_1_UK, I6</t>
  </si>
  <si>
    <t>QR.C17031.Table7.1</t>
  </si>
  <si>
    <t>Table_7_UK Head 1 Tuition fees and education contracts has been entered and is greater than 0 therefore it must equal Table_1_UK Head 1a Tuition fees and education contracts</t>
  </si>
  <si>
    <t>Table_7_UK (H6), Table_1_UK (H6)</t>
  </si>
  <si>
    <t>QR.C17031.Table7.2</t>
  </si>
  <si>
    <t>Table_7_UK Head 4i Total other income has been entered and is greater than 0 therefore it must equal Table_1_UK Head 1d Other income</t>
  </si>
  <si>
    <t>Table_7_UK (H51), Table_1_UK (H9)</t>
  </si>
  <si>
    <t>QR.C17031.Table7.3</t>
  </si>
  <si>
    <t>Table_7_UK Head 5 Investment income has been entered and is greater than 0 therefore it must equal Table_1_UK Head 1e Investment income</t>
  </si>
  <si>
    <t>Table_7_UK (H53), Table_1_UK (H10)</t>
  </si>
  <si>
    <t>QR.C17031.Table7.4</t>
  </si>
  <si>
    <t>Table_7_UK Head 7d Total donations and endowments has been entered and is greater than 0 therefore it must equal Table_1_UK Head 1f Donations and endowments</t>
  </si>
  <si>
    <t>Table_7_UK (H61), Table_1_UK (H11)</t>
  </si>
  <si>
    <t>QR.C17031.Table7.5</t>
  </si>
  <si>
    <t>Table_7_UK Head 1 Tuition fees and education contracts does not have the same value as Table_1_UK Head 1a Tuition fees and education contracts</t>
  </si>
  <si>
    <t>QR.C17031.Table7.6</t>
  </si>
  <si>
    <t>Table_7_UK Head 4i Total other income does not have the same value as Table_1_UK Head 1d Other income</t>
  </si>
  <si>
    <t>QR.C17031.Table7.7</t>
  </si>
  <si>
    <t>Table_7_UK Head 5 Investment income does not have the same value as Table_1_UK Head 1e Investment income</t>
  </si>
  <si>
    <t>QR.C17031.Table7.8</t>
  </si>
  <si>
    <t>Table_7_UK Head 7d Total donations and endowments does not have the same value as Table_1_UK Head 1f Donations and endowments</t>
  </si>
  <si>
    <t>QR.C17031.Table7.9</t>
  </si>
  <si>
    <t>Table_1_UK Head 1a Tuition fees and education contracts has a value of 0 therefore Table_7_UK Head 1 Tuition fees and education contracts should also have a value of 0</t>
  </si>
  <si>
    <t>QR.C17031.Table7.10</t>
  </si>
  <si>
    <t>Table_1_UK Head 1d Other income has a value of 0 therefore Table_7_UK Head 4i Total other income must also have a value of 0</t>
  </si>
  <si>
    <t>QR.C17031.Table7.11</t>
  </si>
  <si>
    <t>Table_1_UK Head 1e Investment income has a value of 0 therefore Table_7_UK Head 5 Investment income must also have a value of 0</t>
  </si>
  <si>
    <t>QR.C17031.Table7.12</t>
  </si>
  <si>
    <t>Table_1_UK Head 1f Donations and endowments has a value of 0 therefore Table_7_UK Head 7d Total donations and endowments must also have a value of 0</t>
  </si>
  <si>
    <t>QR.C17031.Table7.13</t>
  </si>
  <si>
    <t>Table_7_UK Head 2 Funding body grants has been entered and is greater than 0 therefore it must equal Table_1_UK Head 1b Funding body grants</t>
  </si>
  <si>
    <t>Table_7_UK (H8), Table_1_UK (H7)</t>
  </si>
  <si>
    <t>QR.C17031.Table7.14</t>
  </si>
  <si>
    <t>Table_7_UK Head 3o Total Research grants and contracts is greater than 0 therefore it must equal Table_1_UK Head 1c Research grants and contracts</t>
  </si>
  <si>
    <t>Table_7_UK (H34), Table_1_UK (H8)</t>
  </si>
  <si>
    <t>QR.C17031.Table7.15</t>
  </si>
  <si>
    <t>Table_7_UK Head 2 Funding body grants does not have the same value as Table_1_UK Head 1b Funding body grants</t>
  </si>
  <si>
    <t>QR.C17031.Table7.16</t>
  </si>
  <si>
    <t>Table_7_UK Head 3o Total Research grants and contracts does not have the same value as Table_1_UK Head 1c Research grants and contracts</t>
  </si>
  <si>
    <t>QR.C17031.Table7.17</t>
  </si>
  <si>
    <t>Table_1_UK Head 1b Funding body grants has a value of 0 therefore Table_7_UK Head 2 Funding body grants must also have a value of 0</t>
  </si>
  <si>
    <t>QR.C17031.Table7.18</t>
  </si>
  <si>
    <t>Table_1_UK Head 1c Research grants and contracts has a value of 0 therefore Table_7_UK Head 30 Total research grants and contracts must also have a value of 0</t>
  </si>
  <si>
    <t>QR.C17031.Table7E.1</t>
  </si>
  <si>
    <t>All providers in England must return some income under Table_7_England Funding body grants Head 1a HEFCE - teaching grant</t>
  </si>
  <si>
    <t>Table_7_England, H6</t>
  </si>
  <si>
    <t>QR.C17031.Table7E.2</t>
  </si>
  <si>
    <t>Completion of this country specific table must only be by providers in England</t>
  </si>
  <si>
    <t>Table_7_England, H12</t>
  </si>
  <si>
    <t>QR.C17031.Table7W.1</t>
  </si>
  <si>
    <t>Completion of this country specific table must only be by providers in Wales</t>
  </si>
  <si>
    <t>Table_7_Wales, H15</t>
  </si>
  <si>
    <t>QR.C17031.Table7S.1</t>
  </si>
  <si>
    <t>Completion of this country specific table must only be by providers in Scotland</t>
  </si>
  <si>
    <t>Table_7_Scotland, H13</t>
  </si>
  <si>
    <t>QR.C17031.Table7N.1</t>
  </si>
  <si>
    <t>Completion of this country specific table must only be by providers in Northern Ireland</t>
  </si>
  <si>
    <t>Table_7_N_Ireland, H10</t>
  </si>
  <si>
    <t>QR.C17031.Table8.1</t>
  </si>
  <si>
    <t>101 Clinical medicine: if Total staff costs greater than zero then should have Other operating expenses value.</t>
  </si>
  <si>
    <t>Table_8_UK, J6,L6</t>
  </si>
  <si>
    <t>QR.C17031.Table8.2</t>
  </si>
  <si>
    <t>102 Clinical dentistry: if Total staff costs greater than zero then should have Other operating expenses value.</t>
  </si>
  <si>
    <t>Table_8_UK, J7,L7</t>
  </si>
  <si>
    <t>QR.C17031.Table8.3</t>
  </si>
  <si>
    <t>103 Nursing &amp; allied health professions: if Total staff costs greater than zero then should have Other operating expenses value.</t>
  </si>
  <si>
    <t>Table_8_UK, J8,L8</t>
  </si>
  <si>
    <t>QR.C17031.Table8.4</t>
  </si>
  <si>
    <t>104 Psychology &amp; behavioural sciences: if Total staff costs greater than zero then should have Other operating expenses value.</t>
  </si>
  <si>
    <t>Table_8_UK, J9,L9</t>
  </si>
  <si>
    <t>QR.C17031.Table8.5</t>
  </si>
  <si>
    <t>105 Health &amp; community studies: if Total staff costs greater than zero then should have Other operating expenses value.</t>
  </si>
  <si>
    <t>Table_8_UK, J10,L10</t>
  </si>
  <si>
    <t>QR.C17031.Table8.6</t>
  </si>
  <si>
    <t>106 Anatomy &amp; physiology: if Total staff costs greater than zero then should have Other operating expenses value.</t>
  </si>
  <si>
    <t>Table_8_UK, J11,L11</t>
  </si>
  <si>
    <t>QR.C17031.Table8.7</t>
  </si>
  <si>
    <t>107 Pharmacy &amp; pharmacology: if Total staff costs greater than zero then should have Other operating expenses value.</t>
  </si>
  <si>
    <t>Table_8_UK, J12,L12</t>
  </si>
  <si>
    <t>QR.C17031.Table8.8</t>
  </si>
  <si>
    <t>108 Sports science &amp; leisure studies: if Total staff costs greater than zero then should have Other operating expenses value.</t>
  </si>
  <si>
    <t>Table_8_UK, J13,L13</t>
  </si>
  <si>
    <t>QR.C17031.Table8.9</t>
  </si>
  <si>
    <t>109 Veterinary science: if Total staff costs greater than zero then should have Other operating expenses value.</t>
  </si>
  <si>
    <t>Table_8_UK, J14,L14</t>
  </si>
  <si>
    <t>QR.C17031.Table8.10</t>
  </si>
  <si>
    <t>110 Agriculture, forestry &amp; food science: if Total staff costs greater than zero then should have Other operating expenses value.</t>
  </si>
  <si>
    <t>Table_8_UK, J15,L15</t>
  </si>
  <si>
    <t>QR.C17031.Table8.11</t>
  </si>
  <si>
    <t>111 Earth, marine &amp; environmental sciences: if Total staff costs greater than zero then should have Other operating expenses value.</t>
  </si>
  <si>
    <t>Table_8_UK, J16,L16</t>
  </si>
  <si>
    <t>QR.C17031.Table8.12</t>
  </si>
  <si>
    <t>112 Biosciences: if Total staff costs greater than zero then should have Other operating expenses value.</t>
  </si>
  <si>
    <t>Table_8_UK, J17,L17</t>
  </si>
  <si>
    <t>QR.C17031.Table8.13</t>
  </si>
  <si>
    <t>113 Chemistry: if Total staff costs greater than zero then should have Other operating expenses value.</t>
  </si>
  <si>
    <t>Table_8_UK, J18,L18</t>
  </si>
  <si>
    <t>QR.C17031.Table8.14</t>
  </si>
  <si>
    <t>114 Physics: if Total staff costs greater than zero then should have Other operating expenses value.</t>
  </si>
  <si>
    <t>Table_8_UK, J19,L19</t>
  </si>
  <si>
    <t>QR.C17031.Table8.15</t>
  </si>
  <si>
    <t>115 General engineering: if Total staff costs greater than zero then should have Other operating expenses value.</t>
  </si>
  <si>
    <t>Table_8_UK, J20,L20</t>
  </si>
  <si>
    <t>QR.C17031.Table8.16</t>
  </si>
  <si>
    <t>116 Chemical engineering: if Total staff costs greater than zero then should have Other operating expenses value.</t>
  </si>
  <si>
    <t>Table_8_UK, J21,L21</t>
  </si>
  <si>
    <t>QR.C17031.Table8.17</t>
  </si>
  <si>
    <t>117 Mineral, metallurgy &amp; materials engineering: if Total staff costs greater than zero then should have Other operating expenses value.</t>
  </si>
  <si>
    <t>Table_8_UK, J22,L22</t>
  </si>
  <si>
    <t>QR.C17031.Table8.18</t>
  </si>
  <si>
    <t>118 Civil engineering: if Total staff costs greater than zero then should have Other operating expenses value.</t>
  </si>
  <si>
    <t>Table_8_UK, J23,L23</t>
  </si>
  <si>
    <t>QR.C17031.Table8.19</t>
  </si>
  <si>
    <t>119 Electrical, electronic &amp; computer engineering: if Total staff costs greater than zero then should have Other operating expenses value.</t>
  </si>
  <si>
    <t>Table_8_UK, J24,L24</t>
  </si>
  <si>
    <t>QR.C17031.Table8.20</t>
  </si>
  <si>
    <t>120 Mechanical, aero &amp; production engineering: if Total staff costs greater than zero then should have Other operating expenses value.</t>
  </si>
  <si>
    <t>Table_8_UK, J25,L25</t>
  </si>
  <si>
    <t>QR.C17031.Table8.21</t>
  </si>
  <si>
    <t>121 IT, systems sciences &amp; computer software engineering: if Total staff costs greater than zero then should have Other operating expenses value.</t>
  </si>
  <si>
    <t>Table_8_UK, J26,L26</t>
  </si>
  <si>
    <t>QR.C17031.Table8.22</t>
  </si>
  <si>
    <t>122 Mathematics: if Total staff costs greater than zero then should have Other operating expenses value.</t>
  </si>
  <si>
    <t>Table_8_UK, J27,L27</t>
  </si>
  <si>
    <t>QR.C17031.Table8.23</t>
  </si>
  <si>
    <t>123 Architecture, built environment &amp; planning: if Total staff costs greater than zero then should have Other operating expenses value.</t>
  </si>
  <si>
    <t>Table_8_UK, J28,L28</t>
  </si>
  <si>
    <t>QR.C17031.Table8.24</t>
  </si>
  <si>
    <t>124 Geography &amp; environmental studies: if Total staff costs greater than zero then should have Other operating expenses value.</t>
  </si>
  <si>
    <t>Table_8_UK, J29,L29</t>
  </si>
  <si>
    <t>QR.C17031.Table8.25</t>
  </si>
  <si>
    <t>125 Area studies: if Total staff costs greater than zero then should have Other operating expenses value.</t>
  </si>
  <si>
    <t>Table_8_UK, J30,L30</t>
  </si>
  <si>
    <t>QR.C17031.Table8.26</t>
  </si>
  <si>
    <t>126 Archaeology: if Total staff costs greater than zero then should have Other operating expenses value.</t>
  </si>
  <si>
    <t>Table_8_UK, J31,L31</t>
  </si>
  <si>
    <t>QR.C17031.Table8.27</t>
  </si>
  <si>
    <t>127 Anthropology &amp; development studies: if Total staff costs greater than zero then should have Other operating expenses value.</t>
  </si>
  <si>
    <t>Table_8_UK, J32,L32</t>
  </si>
  <si>
    <t>QR.C17031.Table8.28</t>
  </si>
  <si>
    <t>128 Politics &amp; international studies: if Total staff costs greater than zero then should have Other operating expenses value.</t>
  </si>
  <si>
    <t>Table_8_UK, J33,L33</t>
  </si>
  <si>
    <t>QR.C17031.Table8.29</t>
  </si>
  <si>
    <t>129 Economics &amp; econometrics: if Total staff costs greater than zero then should have Other operating expenses value.</t>
  </si>
  <si>
    <t>Table_8_UK, J34,L34</t>
  </si>
  <si>
    <t>QR.C17031.Table8.30</t>
  </si>
  <si>
    <t>130 Law: if Total staff costs greater than zero then should have Other operating expenses value.</t>
  </si>
  <si>
    <t>Table_8_UK, J35,L35</t>
  </si>
  <si>
    <t>QR.C17031.Table8.31</t>
  </si>
  <si>
    <t>131 Social work &amp; social policy: if Total staff costs greater than zero then should have Other operating expenses value.</t>
  </si>
  <si>
    <t>Table_8_UK, J36,L36</t>
  </si>
  <si>
    <t>QR.C17031.Table8.32</t>
  </si>
  <si>
    <t>132 Sociology: if Total staff costs greater than zero then should have Other operating expenses value.</t>
  </si>
  <si>
    <t>Table_8_UK, J37,L37</t>
  </si>
  <si>
    <t>QR.C17031.Table8.33</t>
  </si>
  <si>
    <t>133 Business &amp; management studies: if Total staff costs greater than zero then should have Other operating expenses value.</t>
  </si>
  <si>
    <t>Table_8_UK, J38,L38</t>
  </si>
  <si>
    <t>QR.C17031.Table8.34</t>
  </si>
  <si>
    <t>134 Catering &amp; hospitality management: if Total staff costs greater than zero then should have Other operating expenses value.</t>
  </si>
  <si>
    <t>Table_8_UK, J39,L39</t>
  </si>
  <si>
    <t>QR.C17031.Table8.35</t>
  </si>
  <si>
    <t>135 Education: if Total staff costs greater than zero then should have Other operating expenses value.</t>
  </si>
  <si>
    <t>Table_8_UK, J40,L40</t>
  </si>
  <si>
    <t>QR.C17031.Table8.36</t>
  </si>
  <si>
    <t>136 Continuing education: if Total staff costs greater than zero then should have Other operating expenses value.</t>
  </si>
  <si>
    <t>Table_8_UK, J41,L41</t>
  </si>
  <si>
    <t>QR.C17031.Table8.37</t>
  </si>
  <si>
    <t>137 Modern languages: if Total staff costs greater than zero then should have Other operating expenses value.</t>
  </si>
  <si>
    <t>Table_8_UK, J42,L42</t>
  </si>
  <si>
    <t>QR.C17031.Table8.38</t>
  </si>
  <si>
    <t>138 English language &amp; literature: if Total staff costs greater than zero then should have Other operating expenses value.</t>
  </si>
  <si>
    <t>Table_8_UK, J43,L43</t>
  </si>
  <si>
    <t>QR.C17031.Table8.39</t>
  </si>
  <si>
    <t>139 History: if Total staff costs greater than zero then should have Other operating expenses value.</t>
  </si>
  <si>
    <t>Table_8_UK, J44,L44</t>
  </si>
  <si>
    <t>QR.C17031.Table8.40</t>
  </si>
  <si>
    <t>140 Classics: if Total staff costs greater than zero then should have Other operating expenses value.</t>
  </si>
  <si>
    <t>Table_8_UK, J45,L45</t>
  </si>
  <si>
    <t>QR.C17031.Table8.41</t>
  </si>
  <si>
    <t>141 Philosophy: if Total staff costs greater than zero then should have Other operating expenses value.</t>
  </si>
  <si>
    <t>Table_8_UK, J46,L46</t>
  </si>
  <si>
    <t>QR.C17031.Table8.42</t>
  </si>
  <si>
    <t>142 Theology &amp; religious studies: if Total staff costs greater than zero then should have Other operating expenses value.</t>
  </si>
  <si>
    <t>Table_8_UK, J47,L47</t>
  </si>
  <si>
    <t>QR.C17031.Table8.43</t>
  </si>
  <si>
    <t>143 Art &amp; design: if Total staff costs greater than zero then should have Other operating expenses value.</t>
  </si>
  <si>
    <t>Table_8_UK, J48,L48</t>
  </si>
  <si>
    <t>QR.C17031.Table8.44</t>
  </si>
  <si>
    <t>144 Music, dance, drama &amp; performing arts: if Total staff costs greater than zero then should have Other operating expenses value.</t>
  </si>
  <si>
    <t>Table_8_UK, J49,L49</t>
  </si>
  <si>
    <t>QR.C17031.Table8.45</t>
  </si>
  <si>
    <t>145 Media studies: if Total staff costs greater than zero then should have Other operating expenses value.</t>
  </si>
  <si>
    <t>Table_8_UK, J50,L50</t>
  </si>
  <si>
    <t>QR.C17031.Table8.46</t>
  </si>
  <si>
    <t>A pension cost adjustment value for other operating expenses has been returned. Is this genuine? Please review the credibility.</t>
  </si>
  <si>
    <t>Table_8_UK, L100</t>
  </si>
  <si>
    <t>QR.C17031.Table8.47</t>
  </si>
  <si>
    <t>Other expenditure: Other is a substantial amount of the Total expenditure, please check what has been included here. Should it be allocated elsewhere?</t>
  </si>
  <si>
    <t>Table_8_UK, O101, O104</t>
  </si>
  <si>
    <t>QR.C17031.Table8.53</t>
  </si>
  <si>
    <t>Total expenditure for Table_8_UK Head 3bi National Bursaries + Head 3bii Provider specific bursaries and scholarships should not be zero.</t>
  </si>
  <si>
    <t>Table_8_UK, O58, O59</t>
  </si>
  <si>
    <t>QR.C17031.Table8.54</t>
  </si>
  <si>
    <t>Table_8_UK Head 8 Total expenditure (Other operating expenses) has been entered and is greater than 0 therefore it must equal Table_1_UK Head 2c Other operating expenses</t>
  </si>
  <si>
    <t>Table_8_UK (L104), Table_1_UK (H17)</t>
  </si>
  <si>
    <t>QR.C17031.Table8.55</t>
  </si>
  <si>
    <t>Table_8_UK Head 8 Total expenditure (Depreciation) has been entered and is greater than 0 therefore it must equal Table_1_UK Head 2d Depreciation</t>
  </si>
  <si>
    <t>Table_8_UK (M104), Table_1_UK (H18)</t>
  </si>
  <si>
    <t>QR.C17031.Table8.56</t>
  </si>
  <si>
    <t>Table_8_UK Head 8 Total expenditure (Interest and other finance costs) has been entered and is greater than 0 therefore it must equal Table_1_UK Head 2e Interest and other finance costs</t>
  </si>
  <si>
    <t>Table_8_UK (N104), Table_1_UK (H19)</t>
  </si>
  <si>
    <t>QR.C17031.Table8.57</t>
  </si>
  <si>
    <t>Table_8_UK Head 8 Total expenditure (Other operating expenses) does not have the same value as Table_1_UK Head 2c Other operating expenses</t>
  </si>
  <si>
    <t>QR.C17031.Table8.58</t>
  </si>
  <si>
    <t>Table_8_UK Head 8 Total expenditure (Depreciation) does not have the same value as Table_1_UK Head 2d Depreciation</t>
  </si>
  <si>
    <t>QR.C17031.Table8.59</t>
  </si>
  <si>
    <t>Table_8_UK Head 8 Total expenditure (Interest and other finance costs) does not have the same value as Table_1_UK Head 2e Interest and other finance costs</t>
  </si>
  <si>
    <t>QR.C17031.Table8.60</t>
  </si>
  <si>
    <t>Table_1_UK Head 2c Other operating expenses has a value of 0 thereforeTable_8_UK Head 8 Total expenditure (Other operating expenses) must also have a value of 0</t>
  </si>
  <si>
    <t>QR.C17031.Table8.61</t>
  </si>
  <si>
    <t>Table_1_UK Head 2d Depreciation has a value of 0 therefore Table_8_UK Head 8 Total expenditure (Depreciation) must also have a value of 0</t>
  </si>
  <si>
    <t>QR.C17031.Table8.62</t>
  </si>
  <si>
    <t>Table_1_UK Head 2e Interest and other finance costs has a value of 0 therefore Table_8_UK Head 8 Total expenditure (Interest and other finance costs) must also have a value of 0</t>
  </si>
  <si>
    <t>QR.C17031.Table8.63</t>
  </si>
  <si>
    <t>Table_8_UK Head 8 Total expenditure (Staff costs) has been entered and is greater than 0 therefore it must equal Table_1_UK Head 2a Staff costs</t>
  </si>
  <si>
    <t>Table_8_UK (J104), Table_1_UK (H15)</t>
  </si>
  <si>
    <t>QR.C17031.Table8.64</t>
  </si>
  <si>
    <t>Table_8_UK Head 8 Total expenditure (Fundamental restructuring costs) has been entered and is greater than 0 therefore it must equal Table_1_UK Head 2b Fundamental restructuring costs</t>
  </si>
  <si>
    <t>Table_8_UK (K104), Table_1_UK (H16)</t>
  </si>
  <si>
    <t>QR.C17031.Table8.65</t>
  </si>
  <si>
    <t>Table_8_UK Head 8 Total expenditure (Staff costs) does not have the same value as Table_1_UK Head 2a Staff costs</t>
  </si>
  <si>
    <t>QR.C17031.Table8.66</t>
  </si>
  <si>
    <t>Table_8_UK Head 8 Total expenditure (Fundamental restructuring costs) does not have the same value as Table_1_UK Head 2b Fundamental restructuring costs</t>
  </si>
  <si>
    <t>QR.C17031.Table8.67</t>
  </si>
  <si>
    <t>Table_1_UK Head 2a Staff costs has a value of 0 therefore Table_8_UK Head 8 Total expenditure (Staff costs) must also have a value of 0</t>
  </si>
  <si>
    <t>QR.C17031.Table8.68</t>
  </si>
  <si>
    <t>Table_1_UK Head 2b Fundamental restructuring costs has a value of 0 therefore Table_8_UK Head 8 Total expenditure (Fundamental restructuring costs) must also have a value of 0</t>
  </si>
  <si>
    <t>QR.C17031.Table9.1</t>
  </si>
  <si>
    <t>Total actual spend for Residences operations: Buildings should be greater than or equal to zero.</t>
  </si>
  <si>
    <t>Table_9_UK, H6</t>
  </si>
  <si>
    <t>QR.C17031.Table9.2</t>
  </si>
  <si>
    <t>Total actual spend for Residences operations: Equipment should be greater than or equal to zero.</t>
  </si>
  <si>
    <t>Table_9_UK, H7</t>
  </si>
  <si>
    <t>QR.C17031.Table9.3</t>
  </si>
  <si>
    <t>Total actual spend for Catering operations: Buildings should be greater than or equal to zero.</t>
  </si>
  <si>
    <t>Table_9_UK, H10</t>
  </si>
  <si>
    <t>QR.C17031.Table9.4</t>
  </si>
  <si>
    <t>Total actual spend for Catering operations: Equipment should be greater than or equal to zero.</t>
  </si>
  <si>
    <t>Table_9_UK, H11</t>
  </si>
  <si>
    <t>QR.C17031.Table9.5</t>
  </si>
  <si>
    <t>Total actual spend for Other operations: Buildings should be greater than or equal to zero.</t>
  </si>
  <si>
    <t>Table_9_UK, H14</t>
  </si>
  <si>
    <t>QR.C17031.Table9.6</t>
  </si>
  <si>
    <t>Total actual spend for Other operations: Equipment should be greater than or equal to zero.</t>
  </si>
  <si>
    <t>Table_9_UK, H15</t>
  </si>
  <si>
    <t>QR.C17031.Table9.7</t>
  </si>
  <si>
    <t>Total capital expenditure Total actual spend should be greater than or equal to zero.</t>
  </si>
  <si>
    <t>Table_9_UK, H17</t>
  </si>
  <si>
    <t>QR.C17031.Table9.8</t>
  </si>
  <si>
    <t>All monies must be entered rounded to the nearest £1,000 (entering more than £400,000 signifies wrong degree of accuracy)</t>
  </si>
  <si>
    <t>Table_9_UK, H6, H7, H10, H11, H14, H15</t>
  </si>
  <si>
    <t>QR.C17031.Table9.9</t>
  </si>
  <si>
    <t>Residences Funding body grants value has been returned. Is this genuine? Please review the credibility.</t>
  </si>
  <si>
    <t>Table_9_UK, I6,I7</t>
  </si>
  <si>
    <t>QR.C17031.Table9.10</t>
  </si>
  <si>
    <t>Catering Funding body grants value has been returned. Is this genuine? Please review the credibility.</t>
  </si>
  <si>
    <t>Table_9_UK, I10,I11</t>
  </si>
  <si>
    <t>QR.C17031.Table9.11</t>
  </si>
  <si>
    <t>Total capital expenditure from Funding body grants is expected to contain a value because Capital grants recognised in the year is identified in Table_7_England.</t>
  </si>
  <si>
    <t>Table_9_UK (I17), Table_7_England (H11)</t>
  </si>
  <si>
    <t>QR.C17031.Table9.12</t>
  </si>
  <si>
    <t>Total capital expenditure from Funding body grants is expected to contain a value because Capital grants recognised in the year - equipment/estates is identified in Table_7_Wales.</t>
  </si>
  <si>
    <t>Table_9_UK (I17), Table_7_Wales (H12,H13)</t>
  </si>
  <si>
    <t>QR.C17031.Table9.13</t>
  </si>
  <si>
    <t>Total capital expenditure from Funding body grants is expected to contain a value because Capital grants recognised in the year is identified in Table_7_Scotland.</t>
  </si>
  <si>
    <t>Table_9_UK (I17), Table_7_Scotland (H11)</t>
  </si>
  <si>
    <t>QR.C17031.Table9.14</t>
  </si>
  <si>
    <t>Total capital expenditure from Funding body grants is expected to contain a value because Capital grants recognised in the year is identified in Table_7_N_Ireland.</t>
  </si>
  <si>
    <t>Table_9_UK (I17), Table_7_N_Ireland (H9)</t>
  </si>
  <si>
    <t>QR.C17031.Table9.15</t>
  </si>
  <si>
    <t>Total capital expenditure from Loans is expected to contain a value because Cash flows from financing activities - New secured loans and New unsecured loans is identified under cash flow in Table_4_UK.</t>
  </si>
  <si>
    <t>Table_9_UK (L17), Table_4_UK (H50, H51)</t>
  </si>
  <si>
    <t>QR.C17031.Table10.1</t>
  </si>
  <si>
    <t>Please complete the description for all items disclosed (current year).</t>
  </si>
  <si>
    <t>Table_10_UK, H6, H7, H8, H9, H10, H11, H15, H16, H17, H18, H19, H24, H25, H26, H27, H32, H33, H38, H39, H40, H41, H46, H47, H48, H49, H51, H55, H56</t>
  </si>
  <si>
    <t>QR.C17031.Table10.2</t>
  </si>
  <si>
    <t xml:space="preserve">The disclosed item description (column L) must be blank if a value is not entered in column H (current year). </t>
  </si>
  <si>
    <t>Table_10_UK, L6, L7, L8, L9, L10, L11, L15, L16, L17, L18, L19, L24, L25, L26, L27, L32, L33, L38, L39, L40, L41, L46, L47, L48, L49, L51, L55, L56</t>
  </si>
  <si>
    <t>QR.C17031.Table10.3</t>
  </si>
  <si>
    <t>Please complete the description for all items disclosed (restated year).</t>
  </si>
  <si>
    <t>Table_10_UK, I6, I7, I8, I9, I10, I11, I15, I16, I17, I18, I19, I24, I25, I26, I27, I32, I33, I38, I39, I40, I41, I46, I47, I48, I49, I51, I55, I56</t>
  </si>
  <si>
    <t>QR.C17031.Table10.4</t>
  </si>
  <si>
    <t xml:space="preserve">The disclosed item description (column M) must be blank if a value is not entered in column I (restated year). </t>
  </si>
  <si>
    <t>Table_10_UK, M6, M7, M8, M9, M10, M11, M15, M16, M17, M18, M19, M24, M25, M26, M27, M32, M33, M38, M39, M40, M41, M46, M47, M48, M49, M51, M55, M56</t>
  </si>
  <si>
    <t>QR.C17031.Table11.1</t>
  </si>
  <si>
    <t>If Total remuneration is greater than zero then there should be a start date for the associated Head of provider.</t>
  </si>
  <si>
    <t>Table_11_UK, J33, K33, L33, M33, N33, O33, P33, Q33, J7, L7, N7, P7</t>
  </si>
  <si>
    <t>QR.C17031.Table11.2</t>
  </si>
  <si>
    <t>If Total remuneration is greater than zero for a previous Head of provider then there should also be an end date.</t>
  </si>
  <si>
    <t>Table_11_UK, L8, L33, M33, N8, N33, O33, P8, P33, Q33</t>
  </si>
  <si>
    <t>QR.C17031.Table11.3</t>
  </si>
  <si>
    <t>Current head of provider's end data should be blank unless greater than or equal to 31 July 2018</t>
  </si>
  <si>
    <t>Table_11_UK, J8</t>
  </si>
  <si>
    <t>QR.C17031.Table11.4</t>
  </si>
  <si>
    <t>Current head of provider's salary should be greater than zero</t>
  </si>
  <si>
    <t>Table_11_UK, J10</t>
  </si>
  <si>
    <t>QR.C17031.Table11.5</t>
  </si>
  <si>
    <t>If a head of provider's start date is after 31 July 2017 then Total remuneration for year ended 31 July 2017 should be zero</t>
  </si>
  <si>
    <t>Table_11_UK, J7, K33, L7, M33, N7, O33, P7, Q33</t>
  </si>
  <si>
    <t>QR.C17031.Table11.6</t>
  </si>
  <si>
    <t>If a previous heads of provider's end date is before 31 July 2017 then Total remuneration for year ended 31 July 2018 should be zero</t>
  </si>
  <si>
    <t>Table_11_UK, L8, L33, N8, N33, P8, P33</t>
  </si>
  <si>
    <t>QR.C17031.Table11.7</t>
  </si>
  <si>
    <t>If it has been confirmed that university accommodation has been given a nil taxable value then there should be a value given for Subsidised accommodation</t>
  </si>
  <si>
    <t>Table_11_UK, J36, J21, K36, K21, L36, L21, M36, M21, N36, N21, O36, O21, P36, P21, Q36, Q21</t>
  </si>
  <si>
    <t>QR.C17031.Table11.8</t>
  </si>
  <si>
    <t>Table_11_UK Head 10a Head of provider's basic salary divided by the median pay (salary) should not be zero</t>
  </si>
  <si>
    <t>Table_11_UK, J43</t>
  </si>
  <si>
    <t>QR.C17031.Table11.9</t>
  </si>
  <si>
    <t>Table_11_UK Head 10b Head of provider's total remuneration divided by the median total remuneration should not be zero</t>
  </si>
  <si>
    <t>Table_11_UK, J44</t>
  </si>
  <si>
    <t>QR.C17031.Table11.10</t>
  </si>
  <si>
    <t>Table_11_UK Head 3d Other taxable benefits: items must be specified in the text box if a value is entered</t>
  </si>
  <si>
    <t>Table_11_UK, R22, S22</t>
  </si>
  <si>
    <t>QR.C17031.Table11.11</t>
  </si>
  <si>
    <t>Table_11_UK Head 4c Other non-taxable benefits: items must be specified in the text box if a value is entered</t>
  </si>
  <si>
    <t>Table_11_UK, R27, S27</t>
  </si>
  <si>
    <t>QR.C17031.Table11.12</t>
  </si>
  <si>
    <t>Table_11_UK Head 5d Other remuneration: items must be specified in the text box if a value is entered</t>
  </si>
  <si>
    <t>Table_11_UK, R32, S32</t>
  </si>
  <si>
    <t>QR.C17031.Table12.1</t>
  </si>
  <si>
    <t>Table_12_UK Head 1f Total staff costs should equal Table_1_UK Head 2a Staff costs (current year)</t>
  </si>
  <si>
    <t>Table_12_UK, E10, Table_1_UK, H15</t>
  </si>
  <si>
    <t>QR.C17031.Table12.2</t>
  </si>
  <si>
    <t>Table_12_UK Head 1f Total staff costs should equal Table_1_UK Head 2a Staff costs (restated year)</t>
  </si>
  <si>
    <t>Table_12_UK, F10, Table_1_UK, I15</t>
  </si>
  <si>
    <t>QR.C17031.Table12.3</t>
  </si>
  <si>
    <t>If provider is in England then Head 3a Totals (Headcount) should be zero</t>
  </si>
  <si>
    <t>Table_12_UK, E16, F16</t>
  </si>
  <si>
    <t>QR.C17031.Table12.4</t>
  </si>
  <si>
    <t>If provider is in N Ireland then Head 3 Totals (FTE) should be zero</t>
  </si>
  <si>
    <t>Table_12_UK, G16, H16</t>
  </si>
  <si>
    <t>QR.C17031.Table12.5</t>
  </si>
  <si>
    <t>If provider is in Wales then Head 3 Totals (FTE) should be zero</t>
  </si>
  <si>
    <t>QR.C17031.Table12.6</t>
  </si>
  <si>
    <t>If provider is in Scotland then Head 3 Totals (Headcount and FTE) should be zero</t>
  </si>
  <si>
    <t>Table_12_UK, E16, F16, G16, H16</t>
  </si>
  <si>
    <t>QR.C17031.Table13.1</t>
  </si>
  <si>
    <t>Table_13_UK Head 1a,1b and 1e Severance payments (compensation for loss of office to the head of provider) should be equal to Table_11_UK Head 2g (Head of provider remuneration)</t>
  </si>
  <si>
    <t>Table_13_UK, G6, G7, G10, Table_11_UK, R16</t>
  </si>
  <si>
    <t>QR.C17031.Table13.2</t>
  </si>
  <si>
    <t>For the Year ended 31 July 2017, Table_13_UK Head 1a,1b and 1e Severance payments (compensation for loss of office to the head of provider) should be equal to Table_11_UK Head 2g (Head of provider remuneration)</t>
  </si>
  <si>
    <t>Table_13_UK, H6, H7, H10, Table_11_UK, S16</t>
  </si>
  <si>
    <t>QR.C17031.Table13.3</t>
  </si>
  <si>
    <t>Table_13_UK should not contain all zeros</t>
  </si>
  <si>
    <t>Table_13_UK, G6, G7, G8, G10, G14, G15, G17, G18, G22, G23, G25, G26, H6, H7, H8, H10, H14, H15, H17, H18, H22, H23, H25, H26</t>
  </si>
  <si>
    <t>QR.C17031.Table13.4</t>
  </si>
  <si>
    <t>Total amount of compensation paid across the whole provider (Heads 2ai or 3ai) should be greater than zero</t>
  </si>
  <si>
    <t>Table_13_UK, G14, G22</t>
  </si>
  <si>
    <t>QR.C17031.Table13.5</t>
  </si>
  <si>
    <t>If provider is in England then Head 3 should contain all zeros</t>
  </si>
  <si>
    <t>Table_13_UK, G22, G23, G25, G26, H22, H23, H25, H26</t>
  </si>
  <si>
    <t>QR.C17031.Table13.6</t>
  </si>
  <si>
    <t>If provider is in N Ireland, Scotland or Wales then Head 2 should contain all zeros</t>
  </si>
  <si>
    <t>Table_13_UK, G14, G15, G17, G18, H14, H15, H17, H18</t>
  </si>
  <si>
    <t>QR.C17031.Table13.7</t>
  </si>
  <si>
    <t>Where there is a value entered for Head 1c Where the compensation includes benefits other than cash: estimated money value, then Head 1d should contain the nature of the benefit</t>
  </si>
  <si>
    <t>Table_13_UK,G8, G9</t>
  </si>
  <si>
    <t>Table 1:</t>
  </si>
  <si>
    <t>Consolidated statement of comprehensive income and expenditure year ended 31 July 2018</t>
  </si>
  <si>
    <t>Last years figures have been populated below.
Please restate any figures as required.</t>
  </si>
  <si>
    <t>Last years figures have been populated below.
These are not editable.</t>
  </si>
  <si>
    <t>Variance (2017/18 v. 2016/17 restated)</t>
  </si>
  <si>
    <t>Year ended 31 July 2018</t>
  </si>
  <si>
    <t>Year ended 31 July 2017</t>
  </si>
  <si>
    <t>This column will highlight below where there is a difference &gt;750k and a ratio &gt;2</t>
  </si>
  <si>
    <t>£000s</t>
  </si>
  <si>
    <t>Ratio</t>
  </si>
  <si>
    <t>Please select explanations for any significant variance from the drop down list below:</t>
  </si>
  <si>
    <t>Income</t>
  </si>
  <si>
    <t>Explanation</t>
  </si>
  <si>
    <t>1a</t>
  </si>
  <si>
    <t>Tuition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</si>
  <si>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</si>
  <si>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</si>
  <si>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</si>
  <si>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</si>
  <si>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</si>
  <si>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</si>
  <si>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</si>
  <si>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</si>
  <si>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</si>
  <si>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</si>
  <si>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</si>
  <si>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</si>
  <si>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</si>
  <si>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</si>
  <si>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</si>
  <si>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</si>
  <si>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Fundamental restructuring costs</t>
  </si>
  <si>
    <t>2c</t>
  </si>
  <si>
    <t>Other operating expenses</t>
  </si>
  <si>
    <t>2d</t>
  </si>
  <si>
    <t>Depreciation</t>
  </si>
  <si>
    <t>2e</t>
  </si>
  <si>
    <t>Interest and other finance costs</t>
  </si>
  <si>
    <t>2f</t>
  </si>
  <si>
    <t>Total expenditure</t>
  </si>
  <si>
    <t>Surplus/(deficit) before other gains/losses and share of surplus/(deficit) in joint ventures and associates</t>
  </si>
  <si>
    <t>Gain/(loss) on disposal of fixed assets</t>
  </si>
  <si>
    <t>Gain/(loss) on investments</t>
  </si>
  <si>
    <t>Share of operating surplus/(deficit) in joint venture(s)</t>
  </si>
  <si>
    <t>Share of operating surplus/(deficit) in associate(s)</t>
  </si>
  <si>
    <t>Surplus/(deficit) before tax</t>
  </si>
  <si>
    <t>Taxation</t>
  </si>
  <si>
    <t>9a</t>
  </si>
  <si>
    <t>Taxation on research and development expenditure credit</t>
  </si>
  <si>
    <t>9b</t>
  </si>
  <si>
    <t>Other taxation</t>
  </si>
  <si>
    <t>9c</t>
  </si>
  <si>
    <t>Total taxation</t>
  </si>
  <si>
    <t>Surplus/(deficit) for the year</t>
  </si>
  <si>
    <t xml:space="preserve">Unrealised surplus on revaluation of land and buildings </t>
  </si>
  <si>
    <t>Actuarial gain/(loss) in respect of pension schemes</t>
  </si>
  <si>
    <t>Change in fair value of hedging financial instrument(s) plus foreign currency translation</t>
  </si>
  <si>
    <t>Where 14 'Miscellaneous types of Other comprehensve income' has been completed, please detail below what items are included in this:</t>
  </si>
  <si>
    <t>Miscellaneous types of Other comprehensive income</t>
  </si>
  <si>
    <t xml:space="preserve">Total comprehensive income for the year </t>
  </si>
  <si>
    <t>Total comprehensive income for the year represented by:</t>
  </si>
  <si>
    <t>16a</t>
  </si>
  <si>
    <t>Endowment comprehensive income for the year</t>
  </si>
  <si>
    <t>16b</t>
  </si>
  <si>
    <t>Restricted comprehensive income for the year</t>
  </si>
  <si>
    <t>16c</t>
  </si>
  <si>
    <t xml:space="preserve">Unrestricted comprehensive income for the year </t>
  </si>
  <si>
    <t>16d</t>
  </si>
  <si>
    <t xml:space="preserve">Revaluation reserve comprehensive income for the year </t>
  </si>
  <si>
    <t>16e</t>
  </si>
  <si>
    <t>Attributable to the University</t>
  </si>
  <si>
    <t>16f</t>
  </si>
  <si>
    <t>Attributable to the non-controlling interest</t>
  </si>
  <si>
    <t>16g</t>
  </si>
  <si>
    <t>Total</t>
  </si>
  <si>
    <t>Surplus for the year attributable to:</t>
  </si>
  <si>
    <t>17a</t>
  </si>
  <si>
    <t>Non-controlling interest</t>
  </si>
  <si>
    <t>17b</t>
  </si>
  <si>
    <t>University</t>
  </si>
  <si>
    <t>All items of income and expenditure relate to continuing activities</t>
  </si>
  <si>
    <t>Table 2:</t>
  </si>
  <si>
    <t xml:space="preserve">Consolidated statement of changes in reserves
year ended 31 July 2018
</t>
  </si>
  <si>
    <t>Income and expenditure account</t>
  </si>
  <si>
    <t>Revaluation reserve</t>
  </si>
  <si>
    <t>Total excluding non-controlling interest</t>
  </si>
  <si>
    <t xml:space="preserve">Non-controlling interest </t>
  </si>
  <si>
    <t>Endowment</t>
  </si>
  <si>
    <t>Restricted</t>
  </si>
  <si>
    <t>Unrestricted</t>
  </si>
  <si>
    <t>Balance at 1 August 2016</t>
  </si>
  <si>
    <t>Consolidated changes in reserves year ended 31 July 2017</t>
  </si>
  <si>
    <t>Surplus/(deficit) from the income and expenditure statement</t>
  </si>
  <si>
    <t>Other comprehensive income</t>
  </si>
  <si>
    <t xml:space="preserve">Transfers between revaluation and income and expenditure reserve </t>
  </si>
  <si>
    <t>Release of restricted funds spent in year</t>
  </si>
  <si>
    <t>Total comprehensive income for the year</t>
  </si>
  <si>
    <t>Balance at 1 August 2017</t>
  </si>
  <si>
    <t>Consolidated changes in reserves year ended 31 July 2018</t>
  </si>
  <si>
    <t>4a</t>
  </si>
  <si>
    <t>4b</t>
  </si>
  <si>
    <t>4c</t>
  </si>
  <si>
    <t>4d</t>
  </si>
  <si>
    <t>4e</t>
  </si>
  <si>
    <t>Balance at 31 July 2018</t>
  </si>
  <si>
    <t>Table 3:</t>
  </si>
  <si>
    <t>Consolidated balance sheet 
as at 31 July 2018</t>
  </si>
  <si>
    <t>Non-current assets</t>
  </si>
  <si>
    <t>Intangible assets</t>
  </si>
  <si>
    <t>Goodwill</t>
  </si>
  <si>
    <t>Negative goodwill</t>
  </si>
  <si>
    <t>Net amount of goodwill and negative goodwill</t>
  </si>
  <si>
    <t xml:space="preserve">Fixed assets </t>
  </si>
  <si>
    <t>Heritage assets</t>
  </si>
  <si>
    <t>Investments</t>
  </si>
  <si>
    <t>1h</t>
  </si>
  <si>
    <t>Investment in joint venture(s)</t>
  </si>
  <si>
    <t>1i</t>
  </si>
  <si>
    <t>Investments in associate(s)</t>
  </si>
  <si>
    <t>1j</t>
  </si>
  <si>
    <t>Total non-current assets</t>
  </si>
  <si>
    <t>Current assets</t>
  </si>
  <si>
    <t>Stock</t>
  </si>
  <si>
    <t xml:space="preserve">Trade and other receivables </t>
  </si>
  <si>
    <t xml:space="preserve">Cash and cash equivalents </t>
  </si>
  <si>
    <t>Other (e.g. assets for resale)</t>
  </si>
  <si>
    <t>Total current assets</t>
  </si>
  <si>
    <t>Creditors - amounts falling due within one year</t>
  </si>
  <si>
    <t>3a</t>
  </si>
  <si>
    <t xml:space="preserve">Bank overdrafts </t>
  </si>
  <si>
    <t>3b</t>
  </si>
  <si>
    <t>Bank loans and external borrowing</t>
  </si>
  <si>
    <t>3c</t>
  </si>
  <si>
    <t>Obligations under finance leases and service concessions</t>
  </si>
  <si>
    <t>3d</t>
  </si>
  <si>
    <t>Loans repayable to funding council</t>
  </si>
  <si>
    <t>3e</t>
  </si>
  <si>
    <t>Other (including grant claw back)</t>
  </si>
  <si>
    <t>3f</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</si>
  <si>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</si>
  <si>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</si>
  <si>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</si>
  <si>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</si>
  <si>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</si>
  <si>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</si>
  <si>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</si>
  <si>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</si>
  <si>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</si>
  <si>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7e</t>
  </si>
  <si>
    <t>Total creditors (amounts falling due after more than one year)</t>
  </si>
  <si>
    <t>Provisions</t>
  </si>
  <si>
    <t>8a</t>
  </si>
  <si>
    <t>Pension provisions</t>
  </si>
  <si>
    <t>8b</t>
  </si>
  <si>
    <t>Other provisions</t>
  </si>
  <si>
    <t>8c</t>
  </si>
  <si>
    <t>Total provisions</t>
  </si>
  <si>
    <t>Total net assets</t>
  </si>
  <si>
    <t>Restricted reserves</t>
  </si>
  <si>
    <t>10a</t>
  </si>
  <si>
    <t>Income and expenditure reserve - endowment reserve</t>
  </si>
  <si>
    <t>10b</t>
  </si>
  <si>
    <t>Income and expenditure reserve - restricted reserve</t>
  </si>
  <si>
    <t>Unrestricted reserves</t>
  </si>
  <si>
    <t>11a</t>
  </si>
  <si>
    <t xml:space="preserve">Income and expenditure reserve - unrestricted </t>
  </si>
  <si>
    <t>11b</t>
  </si>
  <si>
    <t>Total restricted and unrestricted reserves</t>
  </si>
  <si>
    <t>Total reserves</t>
  </si>
  <si>
    <t>Table 3_S:</t>
  </si>
  <si>
    <t>Consolidated balance sheet - Scotland</t>
  </si>
  <si>
    <t>Year ended 31 July 2018 £000s</t>
  </si>
  <si>
    <t>Year ended 31 July 2017 £000s</t>
  </si>
  <si>
    <t>Funds, from disposal of fixed assets, held for future fixed asset acquisitions</t>
  </si>
  <si>
    <t>Funds held for third parties</t>
  </si>
  <si>
    <t>Student support funds</t>
  </si>
  <si>
    <t>Other restricted funds</t>
  </si>
  <si>
    <t>Unrestricted funds</t>
  </si>
  <si>
    <t>Total investments</t>
  </si>
  <si>
    <t>Unrestricted cash</t>
  </si>
  <si>
    <t>Total cash and cash equivalents</t>
  </si>
  <si>
    <t>Table 4:</t>
  </si>
  <si>
    <t xml:space="preserve">Consolidated statement of cash flows
year ended 31 July 2018
</t>
  </si>
  <si>
    <t>Cash flow from operating activities</t>
  </si>
  <si>
    <t>Surplus for the year</t>
  </si>
  <si>
    <t>Adjustment for non-cash items</t>
  </si>
  <si>
    <t>Amortisation of intangibles</t>
  </si>
  <si>
    <t>Benefit on acquisition</t>
  </si>
  <si>
    <t>Amortisation of goodwill</t>
  </si>
  <si>
    <t>Loss/(gain) on investments</t>
  </si>
  <si>
    <t>Decrease/(increase) in stock</t>
  </si>
  <si>
    <t>2g</t>
  </si>
  <si>
    <t>Decrease/(increase) in debtors</t>
  </si>
  <si>
    <t>2h</t>
  </si>
  <si>
    <t>Increase/(decrease) in creditors</t>
  </si>
  <si>
    <t>2i</t>
  </si>
  <si>
    <t>Increase/(decrease) in pension provisions</t>
  </si>
  <si>
    <t>2j</t>
  </si>
  <si>
    <t>Increase/(decrease) in other provisions</t>
  </si>
  <si>
    <t>2k</t>
  </si>
  <si>
    <t>Receipt of donated equipment</t>
  </si>
  <si>
    <t>2l</t>
  </si>
  <si>
    <t>Share of operating surplus/(deficit) in joint venture</t>
  </si>
  <si>
    <t>2m</t>
  </si>
  <si>
    <t>Share of operating surplus/(deficit) in associate</t>
  </si>
  <si>
    <t>Where 2n 'Other' has been completed, please detail below what items are included in this:</t>
  </si>
  <si>
    <t>2n</t>
  </si>
  <si>
    <t>Adjustment for investing or financing activities</t>
  </si>
  <si>
    <t>Interest payable</t>
  </si>
  <si>
    <t>Endowment income</t>
  </si>
  <si>
    <t>Loss/(gain) on the sale of fixed assets</t>
  </si>
  <si>
    <t>Capital grant income</t>
  </si>
  <si>
    <t>Net cash inflow from operating activities</t>
  </si>
  <si>
    <t>Cash flows from investing activities</t>
  </si>
  <si>
    <t>5a</t>
  </si>
  <si>
    <t>Proceeds from sales of fixed assets</t>
  </si>
  <si>
    <t>5b</t>
  </si>
  <si>
    <t>Proceeds from sales of intangible assets</t>
  </si>
  <si>
    <t>5c</t>
  </si>
  <si>
    <t>Capital grants receipts</t>
  </si>
  <si>
    <t>5d</t>
  </si>
  <si>
    <t>Disposal of non-current asset investments</t>
  </si>
  <si>
    <t>5e</t>
  </si>
  <si>
    <t>Withdrawal of deposits</t>
  </si>
  <si>
    <t>5f</t>
  </si>
  <si>
    <t>5g</t>
  </si>
  <si>
    <t>Payments made to acquire fixed assets</t>
  </si>
  <si>
    <t>5h</t>
  </si>
  <si>
    <t>Payments made to acquire intangible assets</t>
  </si>
  <si>
    <t>5i</t>
  </si>
  <si>
    <t>New non-current asset investments</t>
  </si>
  <si>
    <t>5j</t>
  </si>
  <si>
    <t>New deposits</t>
  </si>
  <si>
    <t>5k</t>
  </si>
  <si>
    <t>Total cash flows from investing activities</t>
  </si>
  <si>
    <t>Cash flows from financing activities</t>
  </si>
  <si>
    <t>6a</t>
  </si>
  <si>
    <t>Interest paid</t>
  </si>
  <si>
    <t>6b</t>
  </si>
  <si>
    <t>Interest element of finance lease and service concession payments</t>
  </si>
  <si>
    <t>6c</t>
  </si>
  <si>
    <t>Endowment cash received</t>
  </si>
  <si>
    <t>6d</t>
  </si>
  <si>
    <t>New secured loans</t>
  </si>
  <si>
    <t>6e</t>
  </si>
  <si>
    <t>New unsecured loans</t>
  </si>
  <si>
    <t>6f</t>
  </si>
  <si>
    <t>Repayments of amounts borrowed</t>
  </si>
  <si>
    <t>6g</t>
  </si>
  <si>
    <t>Capital element of finance lease and service concession payments</t>
  </si>
  <si>
    <t>Where 6h 'Other' has been completed, please detail below what items are included in this:</t>
  </si>
  <si>
    <t>6h</t>
  </si>
  <si>
    <t>6i</t>
  </si>
  <si>
    <t>Total cash flows from financing activities</t>
  </si>
  <si>
    <t>(Decrease)/Increase in cash and cash equivalents in the year</t>
  </si>
  <si>
    <t>Cash and cash equivalents at beginning of the year</t>
  </si>
  <si>
    <t>Cash and cash equivalents at the end of the year</t>
  </si>
  <si>
    <t>Table 5:</t>
  </si>
  <si>
    <t>Research grants and contracts - breakdown by source of income and HESA cost centre</t>
  </si>
  <si>
    <r>
      <rPr>
        <b/>
        <sz val="12"/>
        <color theme="0"/>
        <rFont val="Arial"/>
        <family val="2"/>
      </rPr>
      <t>1</t>
    </r>
    <r>
      <rPr>
        <sz val="12"/>
        <color theme="0"/>
        <rFont val="Arial"/>
        <family val="2"/>
      </rPr>
      <t xml:space="preserve">
BEIS Research Councils, The Royal Society, British Academy and The Royal Society of Edinburgh</t>
    </r>
  </si>
  <si>
    <t>BBSRC</t>
  </si>
  <si>
    <t>MRC</t>
  </si>
  <si>
    <t>NERC</t>
  </si>
  <si>
    <t>EPSRC</t>
  </si>
  <si>
    <t>ESRC</t>
  </si>
  <si>
    <t>AHRC</t>
  </si>
  <si>
    <t>STFC</t>
  </si>
  <si>
    <t>Total Research Councils</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</si>
  <si>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</si>
  <si>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</si>
  <si>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</si>
  <si>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</si>
  <si>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</si>
  <si>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</si>
  <si>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</si>
  <si>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</si>
  <si>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</si>
  <si>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</si>
  <si>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</si>
  <si>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</si>
  <si>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</si>
  <si>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</si>
  <si>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</si>
  <si>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</si>
  <si>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&amp; allied health professions</t>
  </si>
  <si>
    <t>104 Psychology &amp; behavioural sciences</t>
  </si>
  <si>
    <t>105 Health &amp; community studies</t>
  </si>
  <si>
    <t>106 Anatomy &amp; physiology</t>
  </si>
  <si>
    <t>107 Pharmacy &amp; pharmacology</t>
  </si>
  <si>
    <t>108 Sports science &amp; leisure studies</t>
  </si>
  <si>
    <t>109 Veterinary science</t>
  </si>
  <si>
    <t>110 Agriculture, forestry &amp; food science</t>
  </si>
  <si>
    <t>1k</t>
  </si>
  <si>
    <t>111 Earth, marine &amp; environmental sciences</t>
  </si>
  <si>
    <t>1l</t>
  </si>
  <si>
    <t>112 Biosciences</t>
  </si>
  <si>
    <t>1m</t>
  </si>
  <si>
    <t>113 Chemistry</t>
  </si>
  <si>
    <t>1n</t>
  </si>
  <si>
    <t>114 Physics</t>
  </si>
  <si>
    <t>1o</t>
  </si>
  <si>
    <t>115 General engineering</t>
  </si>
  <si>
    <t>1p</t>
  </si>
  <si>
    <t>116 Chemical engineering</t>
  </si>
  <si>
    <t>1q</t>
  </si>
  <si>
    <t>117 Mineral, metallurgy &amp; materials engineering</t>
  </si>
  <si>
    <t>1r</t>
  </si>
  <si>
    <t>118 Civil engineering</t>
  </si>
  <si>
    <t>1s</t>
  </si>
  <si>
    <t>119 Electrical, electronic &amp; computer engineering</t>
  </si>
  <si>
    <t>1t</t>
  </si>
  <si>
    <t>120 Mechanical, aero &amp; production engineering</t>
  </si>
  <si>
    <t>1u</t>
  </si>
  <si>
    <t>121 IT, systems sciences &amp; computer software engineering</t>
  </si>
  <si>
    <t>1v</t>
  </si>
  <si>
    <t>122 Mathematics</t>
  </si>
  <si>
    <t>1w</t>
  </si>
  <si>
    <t>123 Architecture, built environment &amp; planning</t>
  </si>
  <si>
    <t>1x</t>
  </si>
  <si>
    <t>124 Geography &amp; environmental studies</t>
  </si>
  <si>
    <t>1y</t>
  </si>
  <si>
    <t>125 Area studies</t>
  </si>
  <si>
    <t>1z</t>
  </si>
  <si>
    <t>126 Archaeology</t>
  </si>
  <si>
    <t>1aa</t>
  </si>
  <si>
    <t>127 Anthropology &amp; development studies</t>
  </si>
  <si>
    <t>1ab</t>
  </si>
  <si>
    <t>128 Politics &amp; international studies</t>
  </si>
  <si>
    <t>1ac</t>
  </si>
  <si>
    <t>129 Economics &amp; econometrics</t>
  </si>
  <si>
    <t>1ad</t>
  </si>
  <si>
    <t>130 Law</t>
  </si>
  <si>
    <t>1ae</t>
  </si>
  <si>
    <t>131 Social work &amp; social policy</t>
  </si>
  <si>
    <t>1af</t>
  </si>
  <si>
    <t>132 Sociology</t>
  </si>
  <si>
    <t>1ag</t>
  </si>
  <si>
    <t>133 Business &amp; management studies</t>
  </si>
  <si>
    <t>1ah</t>
  </si>
  <si>
    <t>134 Catering &amp; hospitality management</t>
  </si>
  <si>
    <t>1ai</t>
  </si>
  <si>
    <t>135 Education</t>
  </si>
  <si>
    <t>1aj</t>
  </si>
  <si>
    <t>136 Continuing education</t>
  </si>
  <si>
    <t>1ak</t>
  </si>
  <si>
    <t>137 Modern languages</t>
  </si>
  <si>
    <t>1al</t>
  </si>
  <si>
    <t>138 English language &amp; literature</t>
  </si>
  <si>
    <t>1am</t>
  </si>
  <si>
    <t>139 History</t>
  </si>
  <si>
    <t>1an</t>
  </si>
  <si>
    <t>140 Classics</t>
  </si>
  <si>
    <t>1ao</t>
  </si>
  <si>
    <t>141 Philosophy</t>
  </si>
  <si>
    <t>1ap</t>
  </si>
  <si>
    <t>142 Theology &amp; religious studies</t>
  </si>
  <si>
    <t>1aq</t>
  </si>
  <si>
    <t>143 Art &amp; design</t>
  </si>
  <si>
    <t>1ar</t>
  </si>
  <si>
    <t>144 Music, dance, drama &amp; performing arts</t>
  </si>
  <si>
    <t>1as</t>
  </si>
  <si>
    <t>145 Media studies</t>
  </si>
  <si>
    <t>1at</t>
  </si>
  <si>
    <t>Total academic departments</t>
  </si>
  <si>
    <t>201 Total academic services</t>
  </si>
  <si>
    <t>Administration &amp; central services</t>
  </si>
  <si>
    <t>202 Central administration &amp; services</t>
  </si>
  <si>
    <t>203 General educational expenditure</t>
  </si>
  <si>
    <t>204 Staff &amp; student facilities</t>
  </si>
  <si>
    <t>Total administration &amp; central services</t>
  </si>
  <si>
    <t>207 Total research grants and contracts</t>
  </si>
  <si>
    <t>Co-investment from external sources on funding council-funded projects (included in Heads 1 to 4 above)</t>
  </si>
  <si>
    <t>Table 6:</t>
  </si>
  <si>
    <t>Tuition fees and education contracts analysed by domicile, mode, level and source</t>
  </si>
  <si>
    <t xml:space="preserve">
Please restate any figures as required.</t>
  </si>
  <si>
    <t>Source of fee</t>
  </si>
  <si>
    <r>
      <rPr>
        <sz val="12"/>
        <color rgb="FFFFFFFF"/>
        <rFont val="Arial"/>
        <family val="2"/>
      </rPr>
      <t xml:space="preserve">SLC/LEAs/ SAAS/DfE(NI) </t>
    </r>
    <r>
      <rPr>
        <b/>
        <sz val="12"/>
        <color rgb="FFFFFFFF"/>
        <rFont val="Arial"/>
        <family val="2"/>
      </rPr>
      <t xml:space="preserve">
£000s</t>
    </r>
  </si>
  <si>
    <r>
      <rPr>
        <sz val="12"/>
        <color rgb="FFFFFFFF"/>
        <rFont val="Arial"/>
        <family val="2"/>
      </rPr>
      <t>DH/LETB/Scottish Health Directorate/WEDS</t>
    </r>
    <r>
      <rPr>
        <b/>
        <sz val="12"/>
        <color rgb="FFFFFFFF"/>
        <rFont val="Arial"/>
        <family val="2"/>
      </rPr>
      <t xml:space="preserve">
£000s</t>
    </r>
  </si>
  <si>
    <r>
      <rPr>
        <sz val="12"/>
        <color rgb="FFFFFFFF"/>
        <rFont val="Arial"/>
        <family val="2"/>
      </rPr>
      <t xml:space="preserve">Other </t>
    </r>
    <r>
      <rPr>
        <b/>
        <sz val="12"/>
        <color rgb="FFFFFFFF"/>
        <rFont val="Arial"/>
        <family val="2"/>
      </rPr>
      <t xml:space="preserve">
£000s</t>
    </r>
  </si>
  <si>
    <r>
      <rPr>
        <sz val="12"/>
        <color rgb="FFFFFFFF"/>
        <rFont val="Arial"/>
        <family val="2"/>
      </rPr>
      <t xml:space="preserve">Total </t>
    </r>
    <r>
      <rPr>
        <b/>
        <sz val="12"/>
        <color rgb="FFFFFFFF"/>
        <rFont val="Arial"/>
        <family val="2"/>
      </rPr>
      <t xml:space="preserve">
£000s</t>
    </r>
  </si>
  <si>
    <r>
      <rPr>
        <sz val="12"/>
        <color rgb="FFFFFFFF"/>
        <rFont val="Arial"/>
        <family val="2"/>
      </rPr>
      <t xml:space="preserve">SLC/LEAs/ SAAS/DfE(NI) </t>
    </r>
    <r>
      <rPr>
        <b/>
        <sz val="12"/>
        <color rgb="FFFFFFFF"/>
        <rFont val="Arial"/>
        <family val="2"/>
      </rPr>
      <t xml:space="preserve">
£000s</t>
    </r>
  </si>
  <si>
    <r>
      <rPr>
        <sz val="12"/>
        <color rgb="FFFFFFFF"/>
        <rFont val="Arial"/>
        <family val="2"/>
      </rPr>
      <t>DH/LETB/Scottish Health Directorate/WEDS</t>
    </r>
    <r>
      <rPr>
        <b/>
        <sz val="12"/>
        <color rgb="FFFFFFFF"/>
        <rFont val="Arial"/>
        <family val="2"/>
      </rPr>
      <t xml:space="preserve">
£000s</t>
    </r>
  </si>
  <si>
    <r>
      <rPr>
        <sz val="12"/>
        <color rgb="FFFFFFFF"/>
        <rFont val="Arial"/>
        <family val="2"/>
      </rPr>
      <t xml:space="preserve">Other </t>
    </r>
    <r>
      <rPr>
        <b/>
        <sz val="12"/>
        <color rgb="FFFFFFFF"/>
        <rFont val="Arial"/>
        <family val="2"/>
      </rPr>
      <t xml:space="preserve">
£000s</t>
    </r>
  </si>
  <si>
    <r>
      <rPr>
        <sz val="12"/>
        <color rgb="FFFFFFFF"/>
        <rFont val="Arial"/>
        <family val="2"/>
      </rPr>
      <t xml:space="preserve">Total </t>
    </r>
    <r>
      <rPr>
        <b/>
        <sz val="12"/>
        <color rgb="FFFFFFFF"/>
        <rFont val="Arial"/>
        <family val="2"/>
      </rPr>
      <t xml:space="preserve">
£000s</t>
    </r>
  </si>
  <si>
    <t>This column will highlight below where there is a difference in the Total&gt;750k and a ratio &gt;5</t>
  </si>
  <si>
    <t>HE course fees</t>
  </si>
  <si>
    <t>(25 maximum)</t>
  </si>
  <si>
    <t>Home domilcile students (Scotland)</t>
  </si>
  <si>
    <t>i</t>
  </si>
  <si>
    <t>Full-time undergraduate</t>
  </si>
  <si>
    <t>ii</t>
  </si>
  <si>
    <t>Full-time PGCE</t>
  </si>
  <si>
    <t>iii</t>
  </si>
  <si>
    <t>Full-time postgraduate taught (excl. PGCE)</t>
  </si>
  <si>
    <t>iv</t>
  </si>
  <si>
    <t>Full-time postgraduate research</t>
  </si>
  <si>
    <t>v</t>
  </si>
  <si>
    <t>Part-time undergraduate</t>
  </si>
  <si>
    <t>vi</t>
  </si>
  <si>
    <t>Part-time postgraduate taught</t>
  </si>
  <si>
    <t>vii</t>
  </si>
  <si>
    <t>Part-time postgraduate research</t>
  </si>
  <si>
    <t>viii</t>
  </si>
  <si>
    <t>Total Home fees</t>
  </si>
  <si>
    <t>Rest of UK domilcile students (England, Northern Ireland, Wales)</t>
  </si>
  <si>
    <t>Total Rest of UK fees</t>
  </si>
  <si>
    <t>UK domicile students</t>
  </si>
  <si>
    <t>Total UK fees</t>
  </si>
  <si>
    <t>Other EU domicile students</t>
  </si>
  <si>
    <t>Total Other EU fees</t>
  </si>
  <si>
    <t>Total UK and EU fees</t>
  </si>
  <si>
    <t>Non-EU domicile students</t>
  </si>
  <si>
    <t>//////////</t>
  </si>
  <si>
    <t>Total Non-EU fees</t>
  </si>
  <si>
    <t>Total HE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</si>
  <si>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</si>
  <si>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</si>
  <si>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</si>
  <si>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</si>
  <si>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</si>
  <si>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</si>
  <si>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tuition fees and education contracts</t>
  </si>
  <si>
    <t>HE course fees (Wales only)</t>
  </si>
  <si>
    <t>Non-EU domicile students (within the UK)</t>
  </si>
  <si>
    <t>Transnational education outside the UK</t>
  </si>
  <si>
    <t>Table 7:</t>
  </si>
  <si>
    <t>Income analysed by source</t>
  </si>
  <si>
    <t>BEIS Research Councils, The Royal Society, British Academy and The Royal Society of Edinburgh</t>
  </si>
  <si>
    <t>Biotechnology and Biological Sciences Research Council (BBSRC)</t>
  </si>
  <si>
    <t>Medical Research Council (MRC)</t>
  </si>
  <si>
    <t>Natural Environment Research Council (NERC)</t>
  </si>
  <si>
    <t>Engineering and Physical Sciences Research Council (EPSRC)</t>
  </si>
  <si>
    <t>Economic and Social Research Council (ESRC)</t>
  </si>
  <si>
    <t>Arts and Humanities Research Council (AHRC)</t>
  </si>
  <si>
    <t>Science and Technology Facilities Council (STFC)</t>
  </si>
  <si>
    <t>ix</t>
  </si>
  <si>
    <t xml:space="preserve">Total BEIS Research Councils, The Royal Society, British Academy and The Royal Society of Edinburgh </t>
  </si>
  <si>
    <t>3g</t>
  </si>
  <si>
    <t>3h</t>
  </si>
  <si>
    <t>3i</t>
  </si>
  <si>
    <t>3j</t>
  </si>
  <si>
    <t>3k</t>
  </si>
  <si>
    <t>3l</t>
  </si>
  <si>
    <t>3m</t>
  </si>
  <si>
    <t>3n</t>
  </si>
  <si>
    <t>3o</t>
  </si>
  <si>
    <t>Total research grants and contracts</t>
  </si>
  <si>
    <t>Other services rendered</t>
  </si>
  <si>
    <t>BEIS Research Councils, UK central government/local authorities, health and hospital authorities, EU government bodies</t>
  </si>
  <si>
    <t>Total other services rendered</t>
  </si>
  <si>
    <t xml:space="preserve">Residences, conferences and catering operations </t>
  </si>
  <si>
    <t>Residences operations</t>
  </si>
  <si>
    <t>Catering and Conference operations</t>
  </si>
  <si>
    <t>Total residences and catering operations (including conferences)</t>
  </si>
  <si>
    <t>Grants from local authorities</t>
  </si>
  <si>
    <t>Income from health and hospital authorities (excluding teaching contracts for student provision)</t>
  </si>
  <si>
    <t>Other grant income</t>
  </si>
  <si>
    <t>4f</t>
  </si>
  <si>
    <t>Capital grants recognised in the year</t>
  </si>
  <si>
    <t>4g</t>
  </si>
  <si>
    <t>Income from intellectual property rights</t>
  </si>
  <si>
    <t>4h</t>
  </si>
  <si>
    <t>Other operating income</t>
  </si>
  <si>
    <t>4i</t>
  </si>
  <si>
    <t>Total other income</t>
  </si>
  <si>
    <t>Total income before donations and endowments</t>
  </si>
  <si>
    <t>New endowments</t>
  </si>
  <si>
    <t>Donations with restrictions</t>
  </si>
  <si>
    <t>Unrestricted donations</t>
  </si>
  <si>
    <t>Total donations and endowments</t>
  </si>
  <si>
    <t>Table 7_E:</t>
  </si>
  <si>
    <t>Funding body grants - England</t>
  </si>
  <si>
    <t>Providers in England only:</t>
  </si>
  <si>
    <t>HEFCE/Office for Students - teaching grant</t>
  </si>
  <si>
    <t>HEFCE/Research England - research grant</t>
  </si>
  <si>
    <t>HEFCE/Office for Students/Research England - other grants</t>
  </si>
  <si>
    <t>ESFA funding</t>
  </si>
  <si>
    <t>NCTL/DfE funding</t>
  </si>
  <si>
    <t>Total funding body grants</t>
  </si>
  <si>
    <t>Table 7_W:</t>
  </si>
  <si>
    <t>Funding body grants - Wales</t>
  </si>
  <si>
    <t>Providers in Wales only:</t>
  </si>
  <si>
    <t>Teaching grant - full-time UG provision (including PGCE and premia and per capita funding)</t>
  </si>
  <si>
    <t>Teaching grant - full-time PG provision (including premia and per capita funding)</t>
  </si>
  <si>
    <t>Teaching grant - part-time UG provision (including premia and per capita funding)</t>
  </si>
  <si>
    <t>Teaching grant - part-time PG provision (including premia and per capita funding)</t>
  </si>
  <si>
    <t>QR and PGR funding</t>
  </si>
  <si>
    <t>Non formula funding grant</t>
  </si>
  <si>
    <t>Capital grants recognised in the year - equipment</t>
  </si>
  <si>
    <t>Capital grants recognised in the year - estates</t>
  </si>
  <si>
    <t>DfES recurrent grants</t>
  </si>
  <si>
    <t>Welsh European Funding Office (WEFO) grants</t>
  </si>
  <si>
    <t>Table 7_S:</t>
  </si>
  <si>
    <t>Funding body grants - Scotland</t>
  </si>
  <si>
    <t>Providers in Scotland only:</t>
  </si>
  <si>
    <t>General fund teaching</t>
  </si>
  <si>
    <t>General fund research and knowledge exchange</t>
  </si>
  <si>
    <t>Ring-fenced grants</t>
  </si>
  <si>
    <t>Strategic funds</t>
  </si>
  <si>
    <t>SFC capital maintenance grant</t>
  </si>
  <si>
    <t>Grants for FE provision</t>
  </si>
  <si>
    <t>Table 7_NI:</t>
  </si>
  <si>
    <t>Funding body grants - Northern Ireland</t>
  </si>
  <si>
    <t>Providers in Northern Ireland only:</t>
  </si>
  <si>
    <t>Recurrent (teaching)</t>
  </si>
  <si>
    <t>Recurrent (research)</t>
  </si>
  <si>
    <t>Recurrent - other (including non-recurrent special funding)</t>
  </si>
  <si>
    <t>Table 8:</t>
  </si>
  <si>
    <t>Expenditure -  breakdown by activity and HESA cost centre</t>
  </si>
  <si>
    <t xml:space="preserve">Academic staff costs </t>
  </si>
  <si>
    <t>Other staff costs</t>
  </si>
  <si>
    <t>Total staff costs</t>
  </si>
  <si>
    <t>///////////</t>
  </si>
  <si>
    <t>203 General education expenditure</t>
  </si>
  <si>
    <t>National Bursaries</t>
  </si>
  <si>
    <t>Provider specific (including departmental) bursaries and scholarships</t>
  </si>
  <si>
    <t>Other general expenditure</t>
  </si>
  <si>
    <t>Premises</t>
  </si>
  <si>
    <t>Repairs and maintenance</t>
  </si>
  <si>
    <t>Other expenditure</t>
  </si>
  <si>
    <t>205 Total premises</t>
  </si>
  <si>
    <t>Residences and catering operations (including conferences)</t>
  </si>
  <si>
    <t>Catering operations</t>
  </si>
  <si>
    <t>206 Total residences and catering operations (including conferences)</t>
  </si>
  <si>
    <t>Total BEIS Research Councils, The Royal Society, British Academy and The Royal Society of Edinburgh</t>
  </si>
  <si>
    <t>6j</t>
  </si>
  <si>
    <t>6k</t>
  </si>
  <si>
    <t>6l</t>
  </si>
  <si>
    <t>6m</t>
  </si>
  <si>
    <t>6n</t>
  </si>
  <si>
    <t>Pension cost adjustment</t>
  </si>
  <si>
    <t xml:space="preserve">Other </t>
  </si>
  <si>
    <t>208 Total other expenditure</t>
  </si>
  <si>
    <t>Table 9:</t>
  </si>
  <si>
    <t>Capital expenditure</t>
  </si>
  <si>
    <t>Source of funds</t>
  </si>
  <si>
    <t>Total actual spend</t>
  </si>
  <si>
    <t>Retained proceeds of sales</t>
  </si>
  <si>
    <t>Internal funds</t>
  </si>
  <si>
    <t>Loans</t>
  </si>
  <si>
    <t>Leasing</t>
  </si>
  <si>
    <t>PFI</t>
  </si>
  <si>
    <t>Other external sources</t>
  </si>
  <si>
    <t>Buildings</t>
  </si>
  <si>
    <t>Equipment</t>
  </si>
  <si>
    <t>Other operations</t>
  </si>
  <si>
    <t>Total capital expenditure</t>
  </si>
  <si>
    <t>Table 10:</t>
  </si>
  <si>
    <t>Separately disclosed material items from the audited financial statement of comprehensive income and expenditure year ended 31 July 2018</t>
  </si>
  <si>
    <t xml:space="preserve"> 'Material' items disclosed separately in the published accounts should be returned here. Where more than one disclosed item sits under a single head, the amounts should be summed, and the description should comprise all items summed.</t>
  </si>
  <si>
    <t>Hide these columns</t>
  </si>
  <si>
    <t>Disclosed item(s)</t>
  </si>
  <si>
    <t>QR.C17031.Table10.1 Result</t>
  </si>
  <si>
    <t>Cell displayed if rule triggers</t>
  </si>
  <si>
    <t>QR.C17031.Table10.2 Result</t>
  </si>
  <si>
    <t>QR.C17031.Table10.3 Result</t>
  </si>
  <si>
    <t>QR.C17031.Table10.4 Result</t>
  </si>
  <si>
    <t xml:space="preserve">H6, </t>
  </si>
  <si>
    <t xml:space="preserve">L6, </t>
  </si>
  <si>
    <t xml:space="preserve">I6, </t>
  </si>
  <si>
    <t xml:space="preserve">M6, </t>
  </si>
  <si>
    <t xml:space="preserve">H7, </t>
  </si>
  <si>
    <t xml:space="preserve">L7, </t>
  </si>
  <si>
    <t xml:space="preserve">I7, </t>
  </si>
  <si>
    <t xml:space="preserve">M7, </t>
  </si>
  <si>
    <t xml:space="preserve">H8, </t>
  </si>
  <si>
    <t xml:space="preserve">L8, </t>
  </si>
  <si>
    <t xml:space="preserve">I8, </t>
  </si>
  <si>
    <t xml:space="preserve">M8, </t>
  </si>
  <si>
    <t xml:space="preserve">H9, </t>
  </si>
  <si>
    <t xml:space="preserve">L9, </t>
  </si>
  <si>
    <t xml:space="preserve">I9, </t>
  </si>
  <si>
    <t xml:space="preserve">M9, </t>
  </si>
  <si>
    <t xml:space="preserve">H10, </t>
  </si>
  <si>
    <t xml:space="preserve">L10, </t>
  </si>
  <si>
    <t xml:space="preserve">I10, </t>
  </si>
  <si>
    <t xml:space="preserve">M10, </t>
  </si>
  <si>
    <t xml:space="preserve">H11, </t>
  </si>
  <si>
    <t xml:space="preserve">L11, </t>
  </si>
  <si>
    <t xml:space="preserve">I11, </t>
  </si>
  <si>
    <t xml:space="preserve">M11, </t>
  </si>
  <si>
    <t xml:space="preserve">H15, </t>
  </si>
  <si>
    <t xml:space="preserve">L15, </t>
  </si>
  <si>
    <t xml:space="preserve">I15, </t>
  </si>
  <si>
    <t xml:space="preserve">M15, </t>
  </si>
  <si>
    <t xml:space="preserve">H16, </t>
  </si>
  <si>
    <t xml:space="preserve">L16, </t>
  </si>
  <si>
    <t xml:space="preserve">I16, </t>
  </si>
  <si>
    <t xml:space="preserve">M16, </t>
  </si>
  <si>
    <t xml:space="preserve">H17, </t>
  </si>
  <si>
    <t>L17,</t>
  </si>
  <si>
    <t xml:space="preserve">I17, </t>
  </si>
  <si>
    <t>M17,</t>
  </si>
  <si>
    <t xml:space="preserve">H18, </t>
  </si>
  <si>
    <t>L18,</t>
  </si>
  <si>
    <t xml:space="preserve">I18, </t>
  </si>
  <si>
    <t>M18,</t>
  </si>
  <si>
    <t xml:space="preserve">H19, </t>
  </si>
  <si>
    <t>L19,</t>
  </si>
  <si>
    <t xml:space="preserve">I19, </t>
  </si>
  <si>
    <t>M19,</t>
  </si>
  <si>
    <t xml:space="preserve">H24, </t>
  </si>
  <si>
    <t xml:space="preserve">L24, </t>
  </si>
  <si>
    <t xml:space="preserve">I24, </t>
  </si>
  <si>
    <t xml:space="preserve">M24, </t>
  </si>
  <si>
    <t xml:space="preserve">H25, </t>
  </si>
  <si>
    <t>L25,</t>
  </si>
  <si>
    <t xml:space="preserve">I25, </t>
  </si>
  <si>
    <t>M25,</t>
  </si>
  <si>
    <t xml:space="preserve">H26, </t>
  </si>
  <si>
    <t>L26,</t>
  </si>
  <si>
    <t xml:space="preserve">I26, </t>
  </si>
  <si>
    <t>M26,</t>
  </si>
  <si>
    <t xml:space="preserve">H27, </t>
  </si>
  <si>
    <t>L27,</t>
  </si>
  <si>
    <t xml:space="preserve">I27, </t>
  </si>
  <si>
    <t>M27,</t>
  </si>
  <si>
    <t xml:space="preserve">H32, </t>
  </si>
  <si>
    <t xml:space="preserve">L32, </t>
  </si>
  <si>
    <t xml:space="preserve">I32, </t>
  </si>
  <si>
    <t xml:space="preserve">M32, </t>
  </si>
  <si>
    <t xml:space="preserve">H33, </t>
  </si>
  <si>
    <t xml:space="preserve">L33, </t>
  </si>
  <si>
    <t xml:space="preserve">I33, </t>
  </si>
  <si>
    <t xml:space="preserve">M33, </t>
  </si>
  <si>
    <t xml:space="preserve">H38, </t>
  </si>
  <si>
    <t xml:space="preserve">L38, </t>
  </si>
  <si>
    <t xml:space="preserve">I38, </t>
  </si>
  <si>
    <t xml:space="preserve">M38, </t>
  </si>
  <si>
    <t xml:space="preserve">H39, </t>
  </si>
  <si>
    <t xml:space="preserve">L39, </t>
  </si>
  <si>
    <t xml:space="preserve">I39, </t>
  </si>
  <si>
    <t xml:space="preserve">M39, </t>
  </si>
  <si>
    <t>Change in fair value of hedging financial instrument(s)</t>
  </si>
  <si>
    <t xml:space="preserve">H40, </t>
  </si>
  <si>
    <t xml:space="preserve">L40, </t>
  </si>
  <si>
    <t xml:space="preserve">I40, </t>
  </si>
  <si>
    <t xml:space="preserve">M40, </t>
  </si>
  <si>
    <t xml:space="preserve">H41, </t>
  </si>
  <si>
    <t xml:space="preserve">L41, </t>
  </si>
  <si>
    <t xml:space="preserve">I41, </t>
  </si>
  <si>
    <t xml:space="preserve">M41, </t>
  </si>
  <si>
    <t xml:space="preserve">H46, </t>
  </si>
  <si>
    <t xml:space="preserve">L46, </t>
  </si>
  <si>
    <t xml:space="preserve">I46, </t>
  </si>
  <si>
    <t xml:space="preserve">M46, </t>
  </si>
  <si>
    <t xml:space="preserve">H47, </t>
  </si>
  <si>
    <t xml:space="preserve">L47, </t>
  </si>
  <si>
    <t xml:space="preserve">I47, </t>
  </si>
  <si>
    <t xml:space="preserve">M47, </t>
  </si>
  <si>
    <t xml:space="preserve">H48, </t>
  </si>
  <si>
    <t xml:space="preserve">L48, </t>
  </si>
  <si>
    <t xml:space="preserve">I48, </t>
  </si>
  <si>
    <t xml:space="preserve">M48, </t>
  </si>
  <si>
    <t xml:space="preserve">Revaluation reserves comprehensive income for the year </t>
  </si>
  <si>
    <t xml:space="preserve">H49, </t>
  </si>
  <si>
    <t xml:space="preserve">L49, </t>
  </si>
  <si>
    <t xml:space="preserve">I49, </t>
  </si>
  <si>
    <t xml:space="preserve">M49, </t>
  </si>
  <si>
    <t xml:space="preserve">H51, </t>
  </si>
  <si>
    <t xml:space="preserve">L51, </t>
  </si>
  <si>
    <t xml:space="preserve">I51, </t>
  </si>
  <si>
    <t xml:space="preserve">M51, </t>
  </si>
  <si>
    <t>Total comprehensive income for the year attributable to:</t>
  </si>
  <si>
    <t xml:space="preserve">H55, </t>
  </si>
  <si>
    <t xml:space="preserve">L55, </t>
  </si>
  <si>
    <t xml:space="preserve">I55, </t>
  </si>
  <si>
    <t xml:space="preserve">M55, </t>
  </si>
  <si>
    <t xml:space="preserve">H56, </t>
  </si>
  <si>
    <t xml:space="preserve">L56, </t>
  </si>
  <si>
    <t xml:space="preserve">I56, </t>
  </si>
  <si>
    <t xml:space="preserve">M56, </t>
  </si>
  <si>
    <t>Table 11:</t>
  </si>
  <si>
    <t>Head of provider remuneration</t>
  </si>
  <si>
    <r>
      <rPr>
        <b/>
        <sz val="12"/>
        <color theme="0"/>
        <rFont val="Arial"/>
        <family val="2"/>
      </rPr>
      <t>Guidance:</t>
    </r>
    <r>
      <rPr>
        <sz val="12"/>
        <color theme="0"/>
        <rFont val="Arial"/>
        <family val="2"/>
      </rPr>
      <t xml:space="preserve">
Please record separately the remuneration information for every serving head of provider during the financial years 2017-18 and 2016-17.
Please include all dates, even those falling outside the two financial years, e.g. if head of provider started on 1 January 2015, please enter this as start date.
If the head of provider who was serving on 31 July 2018 has subsequently left, please include the date they actually left. 
Please leave the end date blank for the head of provider at 31 July 2018, if this individual remains in position at date of submission of the HESA finance record.</t>
    </r>
  </si>
  <si>
    <t>Head of provider at 
31 July 2018</t>
  </si>
  <si>
    <t>Previous Head of provider (1)</t>
  </si>
  <si>
    <t>Previous Head of provider (2)</t>
  </si>
  <si>
    <t>Previous Head of provider (3)</t>
  </si>
  <si>
    <t xml:space="preserve"> - comments entered (1=yes, 0=no)</t>
  </si>
  <si>
    <t>Name of individuals serving as head of provider during the two years</t>
  </si>
  <si>
    <t>Type name here</t>
  </si>
  <si>
    <t>/////////////////////////</t>
  </si>
  <si>
    <t>Start date of service (YYYY-MM-DD)</t>
  </si>
  <si>
    <t>End date of service (YYYY-MM-DD)</t>
  </si>
  <si>
    <t>Basic salary</t>
  </si>
  <si>
    <t>Payment of dividends</t>
  </si>
  <si>
    <t>Performance related pay and other bonuses</t>
  </si>
  <si>
    <t>Pension contributions and payments in lieu of pension contributions</t>
  </si>
  <si>
    <t>Salary sacrifice arrangements</t>
  </si>
  <si>
    <t xml:space="preserve">Salary in lieu of pension </t>
  </si>
  <si>
    <t xml:space="preserve">Compensation for loss of office </t>
  </si>
  <si>
    <t>Any sums paid under any pension scheme in relation to employment with the provider</t>
  </si>
  <si>
    <t>Other taxable benefits:</t>
  </si>
  <si>
    <t>Company cars</t>
  </si>
  <si>
    <t>Subsidised loans including mortgage subsidies</t>
  </si>
  <si>
    <t>Subsidised accommodation</t>
  </si>
  <si>
    <t xml:space="preserve">Where 3d 'Other taxable benefits' has been completed, please detail below what items are included in this: </t>
  </si>
  <si>
    <t>Other taxable benefits</t>
  </si>
  <si>
    <t>Sub-total of other taxable benefits</t>
  </si>
  <si>
    <t>Non-taxable benefits</t>
  </si>
  <si>
    <t>Contributions to relocation costs</t>
  </si>
  <si>
    <t>Living accommodation</t>
  </si>
  <si>
    <t xml:space="preserve">Where 4c 'Other non-taxable benefits' has been completed, please detail below what items are included in this: </t>
  </si>
  <si>
    <t>Other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</si>
  <si>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</si>
  <si>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</si>
  <si>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</si>
  <si>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</si>
  <si>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 xml:space="preserve">Where 5d 'Other remuneration' has been completed, please detail below what items are included in this: </t>
  </si>
  <si>
    <t>Total remuneration</t>
  </si>
  <si>
    <t>Was the individual provided with University accommodation ? (Yes/No)</t>
  </si>
  <si>
    <t>Please confirm if this has been given a nil taxable value in the above table ? (Yes/No)</t>
  </si>
  <si>
    <t>Please use the text box if you wish to provide any commentary in support of the data returned in this table</t>
  </si>
  <si>
    <t>Text box</t>
  </si>
  <si>
    <t>Current 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</si>
  <si>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</si>
  <si>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</si>
  <si>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</si>
  <si>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Table 12:</t>
  </si>
  <si>
    <t>Analysis of staff costs</t>
  </si>
  <si>
    <t>Year ended
31 July 2018</t>
  </si>
  <si>
    <t>Year ended
31 July 2017</t>
  </si>
  <si>
    <t xml:space="preserve">Salaries and wages </t>
  </si>
  <si>
    <t>Social security costs</t>
  </si>
  <si>
    <t>Employer pension costs</t>
  </si>
  <si>
    <t>Changes to pension provisions</t>
  </si>
  <si>
    <t xml:space="preserve">Other staff related costs </t>
  </si>
  <si>
    <t xml:space="preserve">Total staff costs </t>
  </si>
  <si>
    <t>Average staff numbers</t>
  </si>
  <si>
    <t>FTE</t>
  </si>
  <si>
    <t>Average staff numbers (FTE) as disclosed in accounts</t>
  </si>
  <si>
    <t>Remuneration of higher paid staff (Not required for Scottish providers)</t>
  </si>
  <si>
    <t>Headcount
(N IRELAND and WALES ONLY)</t>
  </si>
  <si>
    <t>FTE
(ENGLAND ONLY)</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</si>
  <si>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</si>
  <si>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</si>
  <si>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</si>
  <si>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</si>
  <si>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</si>
  <si>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</si>
  <si>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</si>
  <si>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</si>
  <si>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</si>
  <si>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</si>
  <si>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</si>
  <si>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</si>
  <si>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</si>
  <si>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</si>
  <si>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</si>
  <si>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</si>
  <si>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</si>
  <si>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</si>
  <si>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</si>
  <si>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</si>
  <si>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</si>
  <si>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</si>
  <si>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</si>
  <si>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</si>
  <si>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</si>
  <si>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</si>
  <si>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</si>
  <si>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</si>
  <si>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</si>
  <si>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</si>
  <si>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</si>
  <si>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</si>
  <si>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</si>
  <si>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</si>
  <si>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</si>
  <si>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</si>
  <si>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</si>
  <si>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</si>
  <si>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</si>
  <si>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</si>
  <si>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</si>
  <si>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</si>
  <si>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</si>
  <si>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</si>
  <si>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</si>
  <si>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</si>
  <si>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</si>
  <si>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</si>
  <si>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</si>
  <si>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</si>
  <si>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</si>
  <si>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</si>
  <si>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</si>
  <si>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</si>
  <si>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</si>
  <si>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</si>
  <si>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</si>
  <si>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</si>
  <si>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</si>
  <si>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</si>
  <si>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</si>
  <si>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</si>
  <si>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</si>
  <si>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</si>
  <si>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</si>
  <si>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</si>
  <si>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</si>
  <si>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</si>
  <si>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</si>
  <si>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</si>
  <si>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</si>
  <si>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</si>
  <si>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</si>
  <si>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</si>
  <si>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</si>
  <si>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</si>
  <si>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</si>
  <si>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</si>
  <si>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</si>
  <si>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</si>
  <si>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</si>
  <si>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</si>
  <si>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</si>
  <si>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</si>
  <si>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</si>
  <si>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</si>
  <si>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</si>
  <si>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</si>
  <si>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</si>
  <si>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</si>
  <si>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</si>
  <si>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</si>
  <si>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</si>
  <si>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</si>
  <si>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</si>
  <si>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</si>
  <si>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</si>
  <si>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</si>
  <si>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</si>
  <si>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</si>
  <si>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</si>
  <si>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</si>
  <si>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</si>
  <si>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</si>
  <si>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</si>
  <si>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</si>
  <si>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</si>
  <si>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</si>
  <si>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</si>
  <si>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</si>
  <si>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</si>
  <si>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</si>
  <si>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</si>
  <si>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</si>
  <si>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</si>
  <si>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</si>
  <si>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</si>
  <si>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</si>
  <si>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</si>
  <si>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</si>
  <si>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</si>
  <si>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</si>
  <si>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</si>
  <si>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</si>
  <si>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</si>
  <si>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</si>
  <si>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</si>
  <si>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</si>
  <si>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</si>
  <si>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</si>
  <si>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</si>
  <si>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</si>
  <si>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</si>
  <si>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</si>
  <si>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</si>
  <si>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</si>
  <si>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</si>
  <si>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</si>
  <si>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</si>
  <si>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</si>
  <si>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</si>
  <si>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</si>
  <si>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</si>
  <si>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13: Severance payments</t>
  </si>
  <si>
    <t>Compensation for loss of office paid to the head of provider (ALL NATIONS)</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</si>
  <si>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</si>
  <si>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</si>
  <si>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</si>
  <si>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nature of the benefit details</t>
  </si>
  <si>
    <t>Please type nature of the benefits here</t>
  </si>
  <si>
    <t>Where the compensation includes additional pension contributions relating to the employment with the provider: amount of the pension contribution</t>
  </si>
  <si>
    <r>
      <rPr>
        <b/>
        <sz val="10"/>
        <color theme="1"/>
        <rFont val="Arial"/>
        <family val="2"/>
      </rPr>
      <t>Aggregate of compensation for loss of office paid across the whole provider (</t>
    </r>
    <r>
      <rPr>
        <b/>
        <i/>
        <sz val="10"/>
        <color theme="1"/>
        <rFont val="Arial"/>
        <family val="2"/>
      </rPr>
      <t>Includes head of provider</t>
    </r>
    <r>
      <rPr>
        <b/>
        <sz val="10"/>
        <color theme="1"/>
        <rFont val="Arial"/>
        <family val="2"/>
      </rPr>
      <t>) (ENGLAND ONLY)</t>
    </r>
  </si>
  <si>
    <t>Loss of office at the provider:</t>
  </si>
  <si>
    <t>Total amount of compensation paid across the whole provider</t>
  </si>
  <si>
    <t>Number of people to whom this was payable</t>
  </si>
  <si>
    <t>Loss of office at any of the provider's parent or subsidiary undertakings or any office(s) connected to the provider's affairs:</t>
  </si>
  <si>
    <r>
      <rPr>
        <b/>
        <sz val="10"/>
        <color theme="1"/>
        <rFont val="Arial"/>
        <family val="2"/>
      </rPr>
      <t>Aggregate of compensation paid for loss of office to staff earning in excess of £100,000 per annum (</t>
    </r>
    <r>
      <rPr>
        <b/>
        <i/>
        <sz val="10"/>
        <color theme="1"/>
        <rFont val="Arial"/>
        <family val="2"/>
      </rPr>
      <t>Excludes head of provider</t>
    </r>
    <r>
      <rPr>
        <b/>
        <sz val="10"/>
        <color theme="1"/>
        <rFont val="Arial"/>
        <family val="2"/>
      </rPr>
      <t>) (SCOTLAND, WALES AND NI ONLY)</t>
    </r>
  </si>
  <si>
    <t>KFI Calculations</t>
  </si>
  <si>
    <t>KFI No.</t>
  </si>
  <si>
    <t>KFI ratio title</t>
  </si>
  <si>
    <t>Ratio specification using Finance record template reference</t>
  </si>
  <si>
    <t>KFI No.- Numeric part</t>
  </si>
  <si>
    <t>KFI Suffix    1=a,2=b</t>
  </si>
  <si>
    <t>Numerator</t>
  </si>
  <si>
    <t>Denominator</t>
  </si>
  <si>
    <t xml:space="preserve">Surplus/(deficit) as a % of total income </t>
  </si>
  <si>
    <t>100 x Table 1 Head 3 / Table 1 Head 1g</t>
  </si>
  <si>
    <t>Staff costs as a % of total income</t>
  </si>
  <si>
    <t>100 x Table 1 Head 2a  / Table 1 Head 1g</t>
  </si>
  <si>
    <t>Premises costs as a % of total costs</t>
  </si>
  <si>
    <t>100 x Table 8 Head 4c column 5 / Table 1 Head 2f</t>
  </si>
  <si>
    <t xml:space="preserve">Unrestricted reserves as a % of total income </t>
  </si>
  <si>
    <t>100 x SUM (Table 3 Head 11a and Table 3 Head 11b) / Table 1 Head 1g</t>
  </si>
  <si>
    <t>External borrowing as a % of total income</t>
  </si>
  <si>
    <t>100 x SUM (Table 3 Head 3a and Head 3b and Head 3c and Head 3d and Head 7a and Head 7b and Head 7c) / Table 1 Head 1g</t>
  </si>
  <si>
    <t>Days ratio of total net assets to total expenditure</t>
  </si>
  <si>
    <t>365 * (Table 3 Head 9 / Table 1 Head 2f)</t>
  </si>
  <si>
    <t>Ratio of current assets to current liabilities</t>
  </si>
  <si>
    <t xml:space="preserve">Table 3 Head 2f / Table 3 Head 3f </t>
  </si>
  <si>
    <t xml:space="preserve">Net cash inflow from operating activities as a % of total income </t>
  </si>
  <si>
    <t>100 x Table 4 Head 4 / Table 1 Head 1g</t>
  </si>
  <si>
    <t>Net liquidity days</t>
  </si>
  <si>
    <t>365 x (SUM (Table 3 Head 2c and Table 3 Head 2d) - Table 3 Head 3a) / (Table 1 Head 2f - Table 1 Head 2d)</t>
  </si>
  <si>
    <t>Professor Peter Mathieson</t>
  </si>
  <si>
    <t>Professor Sir Timothy O'Shea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</si>
</sst>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000000"/>
    <numFmt numFmtId="166" formatCode="\X"/>
    <numFmt numFmtId="167" formatCode="#,##0.0;\-#,##0.0"/>
    <numFmt numFmtId="168" formatCode="yyyy\-mm\-dd;@"/>
  </numFmts>
  <fonts count="46" x14ac:knownFonts="1">
    <font>
      <sz val="11"/>
      <color theme="1"/>
      <name val="Calibri"/>
      <family val="2"/>
      <scheme val="minor"/>
    </font>
    <font>
      <sz val="10"/>
      <name val="Arial"/>
      <family val="2"/>
    </font>
    <font>
      <b/>
      <sz val="10"/>
      <name val="Arial"/>
      <family val="2"/>
    </font>
    <font>
      <sz val="12"/>
      <color rgb="FFFFFFFF"/>
      <name val="Arial"/>
      <family val="2"/>
    </font>
    <font>
      <b/>
      <sz val="11"/>
      <color theme="1"/>
      <name val="Calibri"/>
      <family val="2"/>
      <scheme val="minor"/>
    </font>
    <font>
      <b/>
      <sz val="10"/>
      <color rgb="FF000000"/>
      <name val="Arial"/>
      <family val="2"/>
    </font>
    <font>
      <b/>
      <sz val="12"/>
      <color rgb="FFFFFFFF"/>
      <name val="Arial"/>
      <family val="2"/>
    </font>
    <font>
      <sz val="10"/>
      <color rgb="FFFF0000"/>
      <name val="Arial"/>
      <family val="2"/>
    </font>
    <font>
      <sz val="10"/>
      <color rgb="FF0000FF"/>
      <name val="Arial"/>
      <family val="2"/>
    </font>
    <font>
      <b/>
      <sz val="12"/>
      <color theme="0"/>
      <name val="Arial"/>
      <family val="2"/>
    </font>
    <font>
      <b/>
      <sz val="10"/>
      <color theme="1"/>
      <name val="Arial"/>
      <family val="2"/>
    </font>
    <font>
      <sz val="10"/>
      <color theme="1"/>
      <name val="Arial"/>
      <family val="2"/>
    </font>
    <font>
      <b/>
      <sz val="11"/>
      <color theme="3"/>
      <name val="Arial"/>
      <family val="2"/>
    </font>
    <font>
      <sz val="10"/>
      <color rgb="FF000000"/>
      <name val="Arial"/>
      <family val="2"/>
    </font>
    <font>
      <sz val="10"/>
      <color rgb="FF0070C0"/>
      <name val="Arial"/>
      <family val="2"/>
    </font>
    <font>
      <b/>
      <sz val="10"/>
      <color theme="0"/>
      <name val="Arial"/>
      <family val="2"/>
    </font>
    <font>
      <sz val="10"/>
      <color theme="0"/>
      <name val="Arial"/>
      <family val="2"/>
    </font>
    <font>
      <sz val="12"/>
      <color theme="1"/>
      <name val="Arial"/>
      <family val="2"/>
    </font>
    <font>
      <b/>
      <sz val="12"/>
      <color theme="3"/>
      <name val="Arial"/>
      <family val="2"/>
    </font>
    <font>
      <b/>
      <sz val="12"/>
      <color theme="1"/>
      <name val="Arial"/>
      <family val="2"/>
    </font>
    <font>
      <b/>
      <sz val="10"/>
      <color theme="3"/>
      <name val="Arial"/>
      <family val="2"/>
    </font>
    <font>
      <u/>
      <sz val="12"/>
      <color rgb="FFFFFFFF"/>
      <name val="Arial"/>
      <family val="2"/>
    </font>
    <font>
      <i/>
      <sz val="10"/>
      <color theme="1"/>
      <name val="Arial"/>
      <family val="2"/>
    </font>
    <font>
      <b/>
      <i/>
      <sz val="12"/>
      <color theme="0"/>
      <name val="Arial"/>
      <family val="2"/>
    </font>
    <font>
      <sz val="10"/>
      <color indexed="12"/>
      <name val="Arial"/>
      <family val="2"/>
    </font>
    <font>
      <sz val="11"/>
      <color theme="1"/>
      <name val="Calibri"/>
      <family val="2"/>
      <scheme val="minor"/>
    </font>
    <font>
      <u/>
      <sz val="11"/>
      <color theme="1"/>
      <name val="Calibri"/>
      <family val="2"/>
      <scheme val="minor"/>
    </font>
    <font>
      <i/>
      <sz val="10"/>
      <color theme="0" tint="-0.499984740745262"/>
      <name val="Arial"/>
      <family val="2"/>
    </font>
    <font>
      <sz val="12"/>
      <color theme="0"/>
      <name val="Arial"/>
      <family val="2"/>
    </font>
    <font>
      <i/>
      <sz val="10"/>
      <color rgb="FFFF0000"/>
      <name val="Arial"/>
      <family val="2"/>
    </font>
    <font>
      <sz val="10"/>
      <color theme="0"/>
      <name val="Calibri"/>
      <family val="2"/>
      <scheme val="minor"/>
    </font>
    <font>
      <b/>
      <sz val="12"/>
      <color indexed="9"/>
      <name val="Arial"/>
      <family val="2"/>
    </font>
    <font>
      <b/>
      <sz val="11"/>
      <color theme="0"/>
      <name val="Arial"/>
      <family val="2"/>
    </font>
    <font>
      <sz val="11"/>
      <color theme="1"/>
      <name val="Arial"/>
      <family val="2"/>
    </font>
    <font>
      <sz val="11"/>
      <color theme="0"/>
      <name val="Calibri"/>
      <family val="2"/>
      <scheme val="minor"/>
    </font>
    <font>
      <b/>
      <sz val="13"/>
      <color theme="0"/>
      <name val="Arial"/>
      <family val="2"/>
    </font>
    <font>
      <sz val="10"/>
      <color indexed="9"/>
      <name val="Arial"/>
      <family val="2"/>
    </font>
    <font>
      <b/>
      <sz val="10"/>
      <color indexed="9"/>
      <name val="Arial"/>
      <family val="2"/>
    </font>
    <font>
      <u/>
      <sz val="10"/>
      <color indexed="12"/>
      <name val="Arial"/>
      <family val="2"/>
    </font>
    <font>
      <sz val="10"/>
      <color rgb="FF222222"/>
      <name val="Arial"/>
      <family val="2"/>
    </font>
    <font>
      <sz val="10"/>
      <color rgb="FF3366FF"/>
      <name val="Arial"/>
      <family val="2"/>
    </font>
    <font>
      <sz val="11"/>
      <color rgb="FFFF0000"/>
      <name val="Calibri"/>
      <family val="2"/>
      <scheme val="minor"/>
    </font>
    <font>
      <b/>
      <i/>
      <sz val="10"/>
      <color theme="1"/>
      <name val="Arial"/>
      <family val="2"/>
    </font>
    <font>
      <sz val="12"/>
      <color theme="1"/>
      <name val="Calibri"/>
      <family val="2"/>
      <scheme val="minor"/>
    </font>
    <font>
      <u/>
      <sz val="11"/>
      <color indexed="12"/>
      <name val="Arial"/>
      <family val="2"/>
    </font>
    <font>
      <sz val="10"/>
      <color theme="1"/>
      <name val="Calibri"/>
      <family val="2"/>
      <scheme val="minor"/>
    </font>
  </fonts>
  <fills count="17">
    <fill>
      <patternFill patternType="none"/>
    </fill>
    <fill>
      <patternFill patternType="gray125"/>
    </fill>
    <fill>
      <patternFill patternType="solid">
        <fgColor rgb="FF647B96"/>
        <bgColor rgb="FF000000"/>
      </patternFill>
    </fill>
    <fill>
      <patternFill patternType="solid">
        <fgColor rgb="FFAFC0EF"/>
        <bgColor rgb="FF000000"/>
      </patternFill>
    </fill>
    <fill>
      <patternFill patternType="solid">
        <fgColor rgb="FFFFFFFF"/>
        <bgColor rgb="FF000000"/>
      </patternFill>
    </fill>
    <fill>
      <patternFill patternType="solid">
        <fgColor rgb="FFDDE1EB"/>
        <bgColor rgb="FF000000"/>
      </patternFill>
    </fill>
    <fill>
      <patternFill patternType="solid">
        <fgColor rgb="FF647B96"/>
        <bgColor indexed="64"/>
      </patternFill>
    </fill>
    <fill>
      <patternFill patternType="solid">
        <fgColor rgb="FFAFC0EF"/>
        <bgColor indexed="64"/>
      </patternFill>
    </fill>
    <fill>
      <patternFill patternType="solid">
        <fgColor rgb="FFDDE1EB"/>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rgb="FF000000"/>
      </patternFill>
    </fill>
    <fill>
      <patternFill patternType="solid">
        <fgColor theme="0" tint="-4.9989318521683403E-2"/>
        <bgColor indexed="64"/>
      </patternFill>
    </fill>
    <fill>
      <patternFill patternType="none">
        <fgColor indexed="9"/>
        <bgColor indexed="64"/>
      </patternFill>
    </fill>
  </fills>
  <borders count="2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25" fillId="0" borderId="0" applyFont="0" applyFill="0" applyBorder="0" applyAlignment="0" applyProtection="0"/>
  </cellStyleXfs>
  <cellXfs count="696">
    <xf numFmtId="0" fontId="0" fillId="0" borderId="0" xfId="0"/>
    <xf numFmtId="37" fontId="8" fillId="16" borderId="2" xfId="0" applyNumberFormat="1" applyFont="1" applyFill="1" applyBorder="1" applyProtection="1">
      <protection locked="0"/>
    </xf>
    <xf numFmtId="37" fontId="8" fillId="16" borderId="2" xfId="0" applyNumberFormat="1" applyFont="1" applyFill="1" applyBorder="1" applyAlignment="1" applyProtection="1">
      <alignment horizontal="right"/>
      <protection locked="0"/>
    </xf>
    <xf numFmtId="37" fontId="1" fillId="0" borderId="2" xfId="0" applyNumberFormat="1" applyFont="1" applyFill="1" applyBorder="1" applyProtection="1"/>
    <xf numFmtId="0" fontId="11" fillId="0" borderId="2" xfId="0" applyFont="1" applyFill="1" applyBorder="1" applyAlignment="1">
      <alignment horizontal="right"/>
    </xf>
    <xf numFmtId="37" fontId="8" fillId="0" borderId="2" xfId="0" applyNumberFormat="1" applyFont="1" applyFill="1" applyBorder="1" applyProtection="1"/>
    <xf numFmtId="37" fontId="8" fillId="0" borderId="2" xfId="0" applyNumberFormat="1" applyFont="1" applyFill="1" applyBorder="1" applyProtection="1">
      <protection locked="0"/>
    </xf>
    <xf numFmtId="0" fontId="1" fillId="0" borderId="7" xfId="2" applyFont="1" applyFill="1" applyBorder="1" applyAlignment="1" applyProtection="1">
      <alignment horizontal="left"/>
    </xf>
    <xf numFmtId="0" fontId="1" fillId="0" borderId="9" xfId="2" applyFont="1" applyFill="1" applyBorder="1" applyAlignment="1" applyProtection="1">
      <alignment horizontal="left"/>
    </xf>
    <xf numFmtId="0" fontId="1" fillId="0" borderId="9" xfId="0" applyFont="1" applyFill="1" applyBorder="1" applyAlignment="1" applyProtection="1">
      <alignment horizontal="left" indent="2"/>
    </xf>
    <xf numFmtId="37" fontId="8" fillId="0" borderId="2" xfId="0" applyNumberFormat="1" applyFont="1" applyFill="1" applyBorder="1" applyAlignment="1" applyProtection="1">
      <alignment horizontal="right"/>
      <protection locked="0"/>
    </xf>
    <xf numFmtId="0" fontId="11" fillId="0" borderId="7" xfId="0" applyFont="1" applyFill="1" applyBorder="1" applyProtection="1"/>
    <xf numFmtId="0" fontId="11" fillId="0" borderId="7" xfId="0" applyFont="1" applyFill="1" applyBorder="1" applyAlignment="1" applyProtection="1">
      <alignment horizontal="left" indent="1"/>
    </xf>
    <xf numFmtId="0" fontId="11" fillId="0" borderId="8" xfId="0" applyFont="1" applyFill="1" applyBorder="1" applyAlignment="1" applyProtection="1">
      <alignment horizontal="left" indent="1"/>
    </xf>
    <xf numFmtId="0" fontId="11" fillId="0" borderId="8" xfId="0" applyFont="1" applyFill="1" applyBorder="1" applyProtection="1"/>
    <xf numFmtId="37" fontId="11" fillId="0" borderId="2" xfId="0" applyNumberFormat="1" applyFont="1" applyFill="1" applyBorder="1" applyAlignment="1" applyProtection="1">
      <alignment horizontal="right"/>
    </xf>
    <xf numFmtId="0" fontId="11" fillId="0" borderId="8" xfId="0" applyFont="1" applyFill="1" applyBorder="1" applyAlignment="1" applyProtection="1">
      <alignment horizontal="left"/>
    </xf>
    <xf numFmtId="0" fontId="10" fillId="0" borderId="7" xfId="0" applyFont="1" applyFill="1" applyBorder="1" applyProtection="1"/>
    <xf numFmtId="0" fontId="10" fillId="0" borderId="8" xfId="0" applyFont="1" applyFill="1" applyBorder="1" applyProtection="1"/>
    <xf numFmtId="0" fontId="11" fillId="0" borderId="2" xfId="0" applyFont="1" applyFill="1" applyBorder="1" applyProtection="1"/>
    <xf numFmtId="0" fontId="11" fillId="0" borderId="9" xfId="0" applyFont="1" applyFill="1" applyBorder="1" applyProtection="1"/>
    <xf numFmtId="37" fontId="8" fillId="0" borderId="2" xfId="0" applyNumberFormat="1" applyFont="1" applyFill="1" applyBorder="1" applyAlignment="1" applyProtection="1">
      <alignment horizontal="right"/>
    </xf>
    <xf numFmtId="0" fontId="10" fillId="0" borderId="9" xfId="0" applyFont="1" applyFill="1" applyBorder="1" applyAlignment="1" applyProtection="1">
      <alignment shrinkToFit="1"/>
    </xf>
    <xf numFmtId="37" fontId="8" fillId="0" borderId="2" xfId="0" applyNumberFormat="1" applyFont="1" applyFill="1" applyBorder="1" applyAlignment="1" applyProtection="1">
      <alignment horizontal="right" shrinkToFit="1"/>
      <protection locked="0"/>
    </xf>
    <xf numFmtId="37" fontId="11" fillId="0" borderId="2" xfId="0" applyNumberFormat="1" applyFont="1" applyFill="1" applyBorder="1" applyAlignment="1" applyProtection="1">
      <alignment horizontal="right" shrinkToFit="1"/>
    </xf>
    <xf numFmtId="37" fontId="8" fillId="0" borderId="2" xfId="0" applyNumberFormat="1" applyFont="1" applyFill="1" applyBorder="1" applyAlignment="1" applyProtection="1">
      <alignment horizontal="right" shrinkToFit="1"/>
    </xf>
    <xf numFmtId="0" fontId="10" fillId="0" borderId="7" xfId="0" applyFont="1" applyFill="1" applyBorder="1" applyAlignment="1" applyProtection="1">
      <alignment shrinkToFit="1"/>
    </xf>
    <xf numFmtId="0" fontId="11" fillId="0" borderId="2" xfId="0" applyFont="1" applyFill="1" applyBorder="1" applyAlignment="1" applyProtection="1">
      <alignment horizontal="right" shrinkToFit="1"/>
    </xf>
    <xf numFmtId="0" fontId="8" fillId="0" borderId="2" xfId="0" applyFont="1" applyFill="1" applyBorder="1" applyAlignment="1" applyProtection="1">
      <alignment horizontal="right" shrinkToFit="1"/>
    </xf>
    <xf numFmtId="0" fontId="11" fillId="0" borderId="7" xfId="0" applyFont="1" applyFill="1" applyBorder="1" applyAlignment="1" applyProtection="1">
      <alignment shrinkToFit="1"/>
    </xf>
    <xf numFmtId="0" fontId="11" fillId="0" borderId="8" xfId="0" applyFont="1" applyFill="1" applyBorder="1" applyAlignment="1" applyProtection="1">
      <alignment shrinkToFit="1"/>
    </xf>
    <xf numFmtId="0" fontId="11" fillId="0" borderId="9" xfId="0" applyFont="1" applyFill="1" applyBorder="1" applyAlignment="1" applyProtection="1">
      <alignment shrinkToFit="1"/>
    </xf>
    <xf numFmtId="0" fontId="2" fillId="0" borderId="9" xfId="0" applyFont="1" applyFill="1" applyBorder="1" applyAlignment="1" applyProtection="1">
      <alignment horizontal="left"/>
    </xf>
    <xf numFmtId="37" fontId="1" fillId="0" borderId="2" xfId="0" applyNumberFormat="1" applyFont="1" applyFill="1" applyBorder="1" applyProtection="1">
      <protection hidden="1"/>
    </xf>
    <xf numFmtId="0" fontId="1" fillId="0" borderId="2" xfId="0" applyFont="1" applyFill="1" applyBorder="1" applyAlignment="1" applyProtection="1">
      <alignment horizontal="right"/>
      <protection hidden="1"/>
    </xf>
    <xf numFmtId="0" fontId="19" fillId="0" borderId="7" xfId="0" applyFont="1" applyFill="1" applyBorder="1" applyAlignment="1" applyProtection="1">
      <alignment shrinkToFit="1"/>
    </xf>
    <xf numFmtId="0" fontId="17" fillId="0" borderId="7" xfId="0" applyFont="1" applyFill="1" applyBorder="1" applyAlignment="1" applyProtection="1">
      <alignment shrinkToFit="1"/>
    </xf>
    <xf numFmtId="0" fontId="17" fillId="0" borderId="8" xfId="0" applyFont="1" applyFill="1" applyBorder="1" applyAlignment="1" applyProtection="1">
      <alignment shrinkToFit="1"/>
    </xf>
    <xf numFmtId="0" fontId="11" fillId="0" borderId="12" xfId="0" applyFont="1" applyFill="1" applyBorder="1" applyAlignment="1" applyProtection="1">
      <alignment horizontal="right"/>
    </xf>
    <xf numFmtId="0" fontId="11" fillId="0" borderId="12" xfId="0" applyFont="1" applyFill="1" applyBorder="1" applyProtection="1"/>
    <xf numFmtId="0" fontId="11" fillId="0" borderId="3" xfId="0" applyFont="1" applyFill="1" applyBorder="1" applyAlignment="1" applyProtection="1">
      <alignment horizontal="right"/>
    </xf>
    <xf numFmtId="0" fontId="11" fillId="0" borderId="3" xfId="0" applyFont="1" applyFill="1" applyBorder="1" applyAlignment="1" applyProtection="1">
      <alignment horizontal="left" indent="1"/>
    </xf>
    <xf numFmtId="0" fontId="0" fillId="0" borderId="3" xfId="0" applyFont="1" applyFill="1" applyBorder="1" applyProtection="1"/>
    <xf numFmtId="37" fontId="1" fillId="0" borderId="2" xfId="0" applyNumberFormat="1" applyFont="1" applyFill="1" applyBorder="1" applyAlignment="1" applyProtection="1">
      <alignment horizontal="right"/>
    </xf>
    <xf numFmtId="0" fontId="0" fillId="0" borderId="0" xfId="0" applyNumberFormat="1" applyFill="1" applyAlignment="1" applyProtection="1"/>
    <xf numFmtId="0" fontId="26" fillId="0" borderId="0" xfId="0" applyNumberFormat="1" applyFont="1" applyFill="1" applyAlignment="1" applyProtection="1"/>
    <xf numFmtId="0" fontId="1" fillId="9" borderId="0" xfId="0" applyNumberFormat="1" applyFont="1" applyFill="1" applyAlignment="1" applyProtection="1"/>
    <xf numFmtId="0" fontId="35" fillId="6" borderId="7" xfId="0" applyNumberFormat="1" applyFont="1" applyFill="1" applyBorder="1" applyAlignment="1" applyProtection="1">
      <alignment horizontal="left" vertical="top"/>
    </xf>
    <xf numFmtId="0" fontId="36" fillId="6" borderId="8" xfId="0" applyNumberFormat="1" applyFont="1" applyFill="1" applyBorder="1" applyAlignment="1" applyProtection="1"/>
    <xf numFmtId="0" fontId="37" fillId="6" borderId="8" xfId="0" applyNumberFormat="1" applyFont="1" applyFill="1" applyBorder="1" applyAlignment="1" applyProtection="1"/>
    <xf numFmtId="164" fontId="37" fillId="6" borderId="9" xfId="0" applyNumberFormat="1" applyFont="1" applyFill="1" applyBorder="1" applyAlignment="1" applyProtection="1">
      <alignment horizontal="left"/>
    </xf>
    <xf numFmtId="0" fontId="36" fillId="10" borderId="0" xfId="0" applyNumberFormat="1" applyFont="1" applyFill="1" applyAlignment="1" applyProtection="1"/>
    <xf numFmtId="0" fontId="36" fillId="10" borderId="0" xfId="0" applyNumberFormat="1" applyFont="1" applyFill="1" applyAlignment="1" applyProtection="1">
      <alignment horizontal="right" vertical="center" wrapText="1"/>
    </xf>
    <xf numFmtId="0" fontId="36" fillId="10" borderId="0" xfId="0" applyNumberFormat="1" applyFont="1" applyFill="1" applyAlignment="1" applyProtection="1">
      <alignment vertical="center"/>
    </xf>
    <xf numFmtId="0" fontId="0" fillId="16" borderId="0" xfId="0" applyNumberFormat="1" applyFill="1" applyAlignment="1" applyProtection="1">
      <alignment horizontal="center" vertical="center"/>
    </xf>
    <xf numFmtId="0" fontId="2" fillId="13" borderId="2" xfId="0" applyNumberFormat="1" applyFont="1" applyFill="1" applyBorder="1" applyAlignment="1" applyProtection="1">
      <alignment wrapText="1"/>
    </xf>
    <xf numFmtId="0" fontId="2" fillId="16" borderId="9" xfId="0" applyNumberFormat="1" applyFont="1" applyFill="1" applyBorder="1" applyAlignment="1" applyProtection="1">
      <alignment horizontal="left" wrapText="1"/>
      <protection locked="0"/>
    </xf>
    <xf numFmtId="0" fontId="2" fillId="8" borderId="5" xfId="0" applyNumberFormat="1" applyFont="1" applyFill="1" applyBorder="1" applyAlignment="1" applyProtection="1">
      <alignment horizontal="left"/>
    </xf>
    <xf numFmtId="0" fontId="2" fillId="8" borderId="4" xfId="0" applyNumberFormat="1" applyFont="1" applyFill="1" applyBorder="1" applyAlignment="1" applyProtection="1">
      <alignment horizontal="left"/>
    </xf>
    <xf numFmtId="0" fontId="1" fillId="10" borderId="0" xfId="0" applyNumberFormat="1" applyFont="1" applyFill="1" applyAlignment="1" applyProtection="1"/>
    <xf numFmtId="0" fontId="1" fillId="10" borderId="0" xfId="0" applyNumberFormat="1" applyFont="1" applyFill="1" applyAlignment="1" applyProtection="1">
      <alignment horizontal="right" vertical="center" wrapText="1"/>
    </xf>
    <xf numFmtId="0" fontId="1" fillId="10" borderId="0" xfId="0" applyNumberFormat="1" applyFont="1" applyFill="1" applyAlignment="1" applyProtection="1">
      <alignment vertical="center"/>
    </xf>
    <xf numFmtId="0" fontId="2" fillId="11" borderId="2" xfId="0" applyNumberFormat="1" applyFont="1" applyFill="1" applyBorder="1" applyAlignment="1" applyProtection="1"/>
    <xf numFmtId="165" fontId="1" fillId="16" borderId="2" xfId="0" applyNumberFormat="1" applyFont="1" applyFill="1" applyBorder="1" applyAlignment="1" applyProtection="1">
      <alignment horizontal="left"/>
      <protection locked="0"/>
    </xf>
    <xf numFmtId="166" fontId="1" fillId="16" borderId="2" xfId="0" applyNumberFormat="1" applyFont="1" applyFill="1" applyBorder="1" applyAlignment="1" applyProtection="1">
      <alignment horizontal="left"/>
      <protection locked="0"/>
    </xf>
    <xf numFmtId="0" fontId="2" fillId="8" borderId="6" xfId="0" applyNumberFormat="1" applyFont="1" applyFill="1" applyBorder="1" applyAlignment="1" applyProtection="1"/>
    <xf numFmtId="0" fontId="2" fillId="9" borderId="0" xfId="0" applyNumberFormat="1" applyFont="1" applyFill="1" applyAlignment="1" applyProtection="1">
      <alignment vertical="top"/>
    </xf>
    <xf numFmtId="1" fontId="2" fillId="9" borderId="0" xfId="0" applyNumberFormat="1" applyFont="1" applyFill="1" applyAlignment="1" applyProtection="1">
      <alignment horizontal="left" vertical="top"/>
    </xf>
    <xf numFmtId="0" fontId="2" fillId="16" borderId="12" xfId="0" applyNumberFormat="1" applyFont="1" applyFill="1" applyBorder="1" applyAlignment="1" applyProtection="1">
      <alignment horizontal="left"/>
    </xf>
    <xf numFmtId="0" fontId="2" fillId="16" borderId="0" xfId="0" applyNumberFormat="1" applyFont="1" applyFill="1" applyAlignment="1" applyProtection="1"/>
    <xf numFmtId="0" fontId="1" fillId="16" borderId="0" xfId="0" applyNumberFormat="1" applyFont="1" applyFill="1" applyAlignment="1" applyProtection="1"/>
    <xf numFmtId="0" fontId="1" fillId="16" borderId="0" xfId="0" applyNumberFormat="1" applyFont="1" applyFill="1" applyAlignment="1" applyProtection="1">
      <alignment horizontal="right" vertical="center" wrapText="1"/>
    </xf>
    <xf numFmtId="0" fontId="1" fillId="16" borderId="0" xfId="0" applyNumberFormat="1" applyFont="1" applyFill="1" applyAlignment="1" applyProtection="1">
      <alignment vertical="center"/>
    </xf>
    <xf numFmtId="0" fontId="2" fillId="9" borderId="0" xfId="0" applyNumberFormat="1" applyFont="1" applyFill="1" applyAlignment="1" applyProtection="1">
      <alignment horizontal="left"/>
    </xf>
    <xf numFmtId="0" fontId="2" fillId="9" borderId="0" xfId="0" applyNumberFormat="1" applyFont="1" applyFill="1" applyAlignment="1" applyProtection="1"/>
    <xf numFmtId="1" fontId="2" fillId="9" borderId="0" xfId="0" applyNumberFormat="1" applyFont="1" applyFill="1" applyAlignment="1" applyProtection="1">
      <alignment horizontal="left"/>
    </xf>
    <xf numFmtId="0" fontId="31" fillId="9" borderId="0" xfId="0" applyNumberFormat="1" applyFont="1" applyFill="1" applyAlignment="1" applyProtection="1">
      <alignment horizontal="right"/>
    </xf>
    <xf numFmtId="0" fontId="31" fillId="9" borderId="0" xfId="0" applyNumberFormat="1" applyFont="1" applyFill="1" applyAlignment="1" applyProtection="1"/>
    <xf numFmtId="0" fontId="37" fillId="9" borderId="0" xfId="0" applyNumberFormat="1" applyFont="1" applyFill="1" applyAlignment="1" applyProtection="1"/>
    <xf numFmtId="0" fontId="1" fillId="9" borderId="0" xfId="0" applyNumberFormat="1" applyFont="1" applyFill="1" applyAlignment="1" applyProtection="1">
      <alignment horizontal="left"/>
    </xf>
    <xf numFmtId="0" fontId="1" fillId="9" borderId="0" xfId="0" applyNumberFormat="1" applyFont="1" applyFill="1" applyAlignment="1" applyProtection="1">
      <alignment horizontal="left" indent="1"/>
    </xf>
    <xf numFmtId="37" fontId="1" fillId="9" borderId="0" xfId="0" applyNumberFormat="1" applyFont="1" applyFill="1" applyAlignment="1" applyProtection="1"/>
    <xf numFmtId="37" fontId="1" fillId="16" borderId="0" xfId="0" applyNumberFormat="1" applyFont="1" applyFill="1" applyAlignment="1" applyProtection="1"/>
    <xf numFmtId="0" fontId="24" fillId="9" borderId="0" xfId="0" applyNumberFormat="1" applyFont="1" applyFill="1" applyAlignment="1" applyProtection="1"/>
    <xf numFmtId="0" fontId="1" fillId="9" borderId="0" xfId="0" applyNumberFormat="1" applyFont="1" applyFill="1" applyAlignment="1" applyProtection="1">
      <alignment horizontal="right" vertical="center" wrapText="1"/>
    </xf>
    <xf numFmtId="0" fontId="1" fillId="9" borderId="0" xfId="0" applyNumberFormat="1" applyFont="1" applyFill="1" applyAlignment="1" applyProtection="1">
      <alignment vertical="center"/>
    </xf>
    <xf numFmtId="0" fontId="33" fillId="16" borderId="0" xfId="0" applyNumberFormat="1" applyFont="1" applyFill="1" applyAlignment="1" applyProtection="1">
      <alignment horizontal="center" vertical="center"/>
    </xf>
    <xf numFmtId="0" fontId="24" fillId="16" borderId="0" xfId="0" applyNumberFormat="1" applyFont="1" applyFill="1" applyAlignment="1" applyProtection="1"/>
    <xf numFmtId="0" fontId="38" fillId="9" borderId="0" xfId="0" applyNumberFormat="1" applyFont="1" applyFill="1" applyAlignment="1" applyProtection="1"/>
    <xf numFmtId="0" fontId="1" fillId="9" borderId="0" xfId="0" applyNumberFormat="1" applyFont="1" applyFill="1" applyAlignment="1" applyProtection="1">
      <alignment horizontal="center" vertical="center"/>
    </xf>
    <xf numFmtId="0" fontId="1" fillId="9" borderId="0" xfId="0" applyNumberFormat="1" applyFont="1" applyFill="1" applyAlignment="1" applyProtection="1">
      <alignment horizontal="center"/>
    </xf>
    <xf numFmtId="0" fontId="1" fillId="9" borderId="3" xfId="0" applyNumberFormat="1" applyFont="1" applyFill="1" applyBorder="1" applyAlignment="1" applyProtection="1">
      <alignment horizontal="center"/>
    </xf>
    <xf numFmtId="37" fontId="1" fillId="9" borderId="3" xfId="0" applyNumberFormat="1" applyFont="1" applyFill="1" applyBorder="1" applyAlignment="1" applyProtection="1">
      <alignment horizontal="center"/>
    </xf>
    <xf numFmtId="0" fontId="15" fillId="6" borderId="12" xfId="0" applyNumberFormat="1" applyFont="1" applyFill="1" applyBorder="1" applyAlignment="1" applyProtection="1"/>
    <xf numFmtId="0" fontId="37" fillId="6" borderId="12" xfId="0" applyNumberFormat="1" applyFont="1" applyFill="1" applyBorder="1" applyAlignment="1" applyProtection="1">
      <alignment horizontal="left"/>
    </xf>
    <xf numFmtId="0" fontId="1" fillId="6" borderId="12" xfId="0" applyNumberFormat="1" applyFont="1" applyFill="1" applyBorder="1" applyAlignment="1" applyProtection="1"/>
    <xf numFmtId="0" fontId="1" fillId="6" borderId="12" xfId="0" applyNumberFormat="1" applyFont="1" applyFill="1" applyBorder="1" applyAlignment="1" applyProtection="1">
      <alignment horizontal="right" vertical="center" wrapText="1"/>
    </xf>
    <xf numFmtId="0" fontId="1" fillId="16" borderId="0" xfId="0" applyNumberFormat="1" applyFont="1" applyFill="1" applyAlignment="1" applyProtection="1">
      <alignment horizontal="right" vertical="center"/>
    </xf>
    <xf numFmtId="0" fontId="1" fillId="6" borderId="13" xfId="0" applyNumberFormat="1" applyFont="1" applyFill="1" applyBorder="1" applyAlignment="1" applyProtection="1"/>
    <xf numFmtId="49" fontId="1" fillId="6" borderId="0" xfId="0" applyNumberFormat="1" applyFont="1" applyFill="1" applyAlignment="1" applyProtection="1">
      <alignment horizontal="left"/>
    </xf>
    <xf numFmtId="0" fontId="1" fillId="6" borderId="0" xfId="0" applyNumberFormat="1" applyFont="1" applyFill="1" applyAlignment="1" applyProtection="1"/>
    <xf numFmtId="0" fontId="1" fillId="6" borderId="0" xfId="0" applyNumberFormat="1" applyFont="1" applyFill="1" applyAlignment="1" applyProtection="1">
      <alignment horizontal="right" vertical="center" wrapText="1"/>
    </xf>
    <xf numFmtId="0" fontId="1" fillId="6" borderId="15" xfId="0" applyNumberFormat="1" applyFont="1" applyFill="1" applyBorder="1" applyAlignment="1" applyProtection="1"/>
    <xf numFmtId="49" fontId="1" fillId="6" borderId="3" xfId="0" applyNumberFormat="1" applyFont="1" applyFill="1" applyBorder="1" applyAlignment="1" applyProtection="1">
      <alignment horizontal="left"/>
    </xf>
    <xf numFmtId="0" fontId="1" fillId="6" borderId="3" xfId="0" applyNumberFormat="1" applyFont="1" applyFill="1" applyBorder="1" applyAlignment="1" applyProtection="1">
      <alignment horizontal="left"/>
    </xf>
    <xf numFmtId="0" fontId="1" fillId="6" borderId="3" xfId="0" applyNumberFormat="1" applyFont="1" applyFill="1" applyBorder="1" applyAlignment="1" applyProtection="1"/>
    <xf numFmtId="0" fontId="1" fillId="6" borderId="3" xfId="0" applyNumberFormat="1" applyFont="1" applyFill="1" applyBorder="1" applyAlignment="1" applyProtection="1">
      <alignment horizontal="right" vertical="center" wrapText="1"/>
    </xf>
    <xf numFmtId="0" fontId="1" fillId="16" borderId="0" xfId="0" applyNumberFormat="1" applyFont="1" applyFill="1" applyAlignment="1" applyProtection="1">
      <alignment horizontal="left" vertical="center"/>
    </xf>
    <xf numFmtId="0" fontId="2" fillId="9" borderId="3" xfId="0" applyNumberFormat="1" applyFont="1" applyFill="1" applyBorder="1" applyAlignment="1" applyProtection="1">
      <alignment horizontal="left"/>
    </xf>
    <xf numFmtId="0" fontId="2" fillId="9" borderId="8" xfId="0" applyNumberFormat="1" applyFont="1" applyFill="1" applyBorder="1" applyAlignment="1" applyProtection="1"/>
    <xf numFmtId="0" fontId="2" fillId="9" borderId="0" xfId="0" applyNumberFormat="1" applyFont="1" applyFill="1" applyAlignment="1" applyProtection="1">
      <alignment horizontal="center"/>
    </xf>
    <xf numFmtId="0" fontId="2" fillId="16" borderId="0" xfId="0" applyNumberFormat="1" applyFont="1" applyFill="1" applyAlignment="1" applyProtection="1">
      <alignment horizontal="right" vertical="center" textRotation="90" wrapText="1"/>
    </xf>
    <xf numFmtId="0" fontId="2" fillId="16" borderId="0" xfId="0" applyNumberFormat="1" applyFont="1" applyFill="1" applyAlignment="1" applyProtection="1">
      <alignment horizontal="left" vertical="center" textRotation="90"/>
    </xf>
    <xf numFmtId="0" fontId="7" fillId="9" borderId="0" xfId="0" applyNumberFormat="1" applyFont="1" applyFill="1" applyAlignment="1" applyProtection="1">
      <alignment vertical="center" wrapText="1"/>
    </xf>
    <xf numFmtId="0" fontId="27" fillId="16" borderId="0" xfId="0" applyNumberFormat="1" applyFont="1" applyFill="1" applyAlignment="1" applyProtection="1">
      <alignment horizontal="center" vertical="center"/>
    </xf>
    <xf numFmtId="0" fontId="1" fillId="9" borderId="8" xfId="0" applyNumberFormat="1" applyFont="1" applyFill="1" applyBorder="1" applyAlignment="1" applyProtection="1"/>
    <xf numFmtId="0" fontId="7" fillId="9" borderId="0" xfId="0" applyNumberFormat="1" applyFont="1" applyFill="1" applyAlignment="1" applyProtection="1">
      <alignment vertical="center"/>
    </xf>
    <xf numFmtId="0" fontId="1" fillId="9" borderId="8" xfId="0" applyNumberFormat="1" applyFont="1" applyFill="1" applyBorder="1" applyAlignment="1" applyProtection="1">
      <alignment horizontal="left" vertical="center"/>
    </xf>
    <xf numFmtId="0" fontId="1" fillId="9" borderId="8" xfId="0" applyNumberFormat="1" applyFont="1" applyFill="1" applyBorder="1" applyAlignment="1" applyProtection="1">
      <alignment vertical="center" wrapText="1"/>
    </xf>
    <xf numFmtId="0" fontId="1" fillId="9" borderId="8" xfId="0" applyNumberFormat="1" applyFont="1" applyFill="1" applyBorder="1" applyAlignment="1" applyProtection="1">
      <alignment vertical="center"/>
    </xf>
    <xf numFmtId="0" fontId="1" fillId="9" borderId="8" xfId="0" applyNumberFormat="1" applyFont="1" applyFill="1" applyBorder="1" applyAlignment="1" applyProtection="1">
      <alignment horizontal="left" vertical="center" wrapText="1"/>
    </xf>
    <xf numFmtId="37" fontId="1" fillId="16" borderId="8" xfId="0" applyNumberFormat="1" applyFont="1" applyFill="1" applyBorder="1" applyAlignment="1" applyProtection="1">
      <alignment horizontal="left" vertical="center"/>
    </xf>
    <xf numFmtId="37" fontId="1" fillId="9" borderId="8" xfId="0" applyNumberFormat="1" applyFont="1" applyFill="1" applyBorder="1" applyAlignment="1" applyProtection="1">
      <alignment horizontal="left" vertical="center"/>
    </xf>
    <xf numFmtId="0" fontId="7" fillId="9" borderId="0" xfId="0" applyNumberFormat="1" applyFont="1" applyFill="1" applyAlignment="1" applyProtection="1">
      <alignment horizontal="left" vertical="center" wrapText="1"/>
    </xf>
    <xf numFmtId="0" fontId="1" fillId="9" borderId="12" xfId="0" applyNumberFormat="1" applyFont="1" applyFill="1" applyBorder="1" applyAlignment="1" applyProtection="1">
      <alignment vertical="center"/>
    </xf>
    <xf numFmtId="0" fontId="1" fillId="9" borderId="3" xfId="0" applyNumberFormat="1" applyFont="1" applyFill="1" applyBorder="1" applyAlignment="1" applyProtection="1">
      <alignment vertical="center"/>
    </xf>
    <xf numFmtId="37" fontId="1" fillId="9" borderId="0" xfId="0" applyNumberFormat="1" applyFont="1" applyFill="1" applyAlignment="1" applyProtection="1">
      <alignment horizontal="right" vertical="center" wrapText="1"/>
    </xf>
    <xf numFmtId="0" fontId="1" fillId="9" borderId="3" xfId="0" applyNumberFormat="1" applyFont="1" applyFill="1" applyBorder="1" applyAlignment="1" applyProtection="1">
      <alignment vertical="center" wrapText="1"/>
    </xf>
    <xf numFmtId="0" fontId="1" fillId="16" borderId="8" xfId="0" applyNumberFormat="1" applyFont="1" applyFill="1" applyBorder="1" applyAlignment="1" applyProtection="1">
      <alignment vertical="center"/>
    </xf>
    <xf numFmtId="0" fontId="1" fillId="9" borderId="0" xfId="0" applyNumberFormat="1" applyFont="1" applyFill="1" applyAlignment="1" applyProtection="1">
      <alignment horizontal="right" vertical="center"/>
    </xf>
    <xf numFmtId="0" fontId="1" fillId="9" borderId="0" xfId="0" applyNumberFormat="1" applyFont="1" applyFill="1" applyAlignment="1" applyProtection="1">
      <alignment horizontal="left" vertical="center"/>
    </xf>
    <xf numFmtId="0" fontId="1" fillId="16" borderId="12" xfId="0" applyNumberFormat="1" applyFont="1" applyFill="1" applyBorder="1" applyAlignment="1" applyProtection="1">
      <alignment vertical="center"/>
    </xf>
    <xf numFmtId="0" fontId="1" fillId="16" borderId="8" xfId="0" applyNumberFormat="1" applyFont="1" applyFill="1" applyBorder="1" applyAlignment="1" applyProtection="1">
      <alignment vertical="center" wrapText="1"/>
    </xf>
    <xf numFmtId="0" fontId="1" fillId="16" borderId="8" xfId="0" applyNumberFormat="1" applyFont="1" applyFill="1" applyBorder="1" applyAlignment="1" applyProtection="1">
      <alignment horizontal="left" vertical="center"/>
    </xf>
    <xf numFmtId="0" fontId="7" fillId="16" borderId="0" xfId="0" applyNumberFormat="1" applyFont="1" applyFill="1" applyAlignment="1" applyProtection="1">
      <alignment vertical="center"/>
    </xf>
    <xf numFmtId="0" fontId="1" fillId="16" borderId="0" xfId="0" applyNumberFormat="1" applyFont="1" applyFill="1" applyAlignment="1" applyProtection="1">
      <alignment horizontal="center" vertical="center"/>
    </xf>
    <xf numFmtId="49" fontId="7" fillId="9" borderId="0" xfId="0" applyNumberFormat="1" applyFont="1" applyFill="1" applyAlignment="1" applyProtection="1">
      <alignment horizontal="left" vertical="center" wrapText="1"/>
    </xf>
    <xf numFmtId="0" fontId="7" fillId="16" borderId="0" xfId="0" applyNumberFormat="1" applyFont="1" applyFill="1" applyAlignment="1" applyProtection="1">
      <alignment horizontal="left" vertical="center" wrapText="1"/>
    </xf>
    <xf numFmtId="0" fontId="1" fillId="9" borderId="0" xfId="0" applyNumberFormat="1" applyFont="1" applyFill="1" applyAlignment="1" applyProtection="1">
      <alignment vertical="center" wrapText="1"/>
    </xf>
    <xf numFmtId="0" fontId="1" fillId="16" borderId="3" xfId="0" applyNumberFormat="1" applyFont="1" applyFill="1" applyBorder="1" applyAlignment="1" applyProtection="1">
      <alignment vertical="center"/>
    </xf>
    <xf numFmtId="0" fontId="1" fillId="16" borderId="0" xfId="0" applyNumberFormat="1" applyFont="1" applyFill="1" applyAlignment="1" applyProtection="1">
      <alignment vertical="center" wrapText="1"/>
    </xf>
    <xf numFmtId="1" fontId="1" fillId="9" borderId="0" xfId="0" applyNumberFormat="1" applyFont="1" applyFill="1" applyAlignment="1" applyProtection="1">
      <alignment horizontal="right" vertical="center" wrapText="1"/>
    </xf>
    <xf numFmtId="0" fontId="7" fillId="9" borderId="0" xfId="0" applyNumberFormat="1" applyFont="1" applyFill="1" applyAlignment="1" applyProtection="1"/>
    <xf numFmtId="0" fontId="11" fillId="0" borderId="0" xfId="0" applyNumberFormat="1" applyFont="1" applyFill="1" applyAlignment="1" applyProtection="1"/>
    <xf numFmtId="0" fontId="9" fillId="6" borderId="1" xfId="0" applyNumberFormat="1" applyFont="1" applyFill="1" applyBorder="1" applyAlignment="1" applyProtection="1">
      <alignment horizontal="right" vertical="top"/>
    </xf>
    <xf numFmtId="0" fontId="15" fillId="6" borderId="12" xfId="0" applyNumberFormat="1" applyFont="1" applyFill="1" applyBorder="1" applyAlignment="1" applyProtection="1">
      <alignment vertical="top" wrapText="1"/>
    </xf>
    <xf numFmtId="0" fontId="10" fillId="0" borderId="0" xfId="0" applyNumberFormat="1" applyFont="1" applyFill="1" applyAlignment="1" applyProtection="1">
      <alignment horizontal="center"/>
    </xf>
    <xf numFmtId="0" fontId="9" fillId="6" borderId="13" xfId="0" applyNumberFormat="1" applyFont="1" applyFill="1" applyBorder="1" applyAlignment="1" applyProtection="1">
      <alignment horizontal="right" vertical="top" wrapText="1"/>
    </xf>
    <xf numFmtId="0" fontId="9" fillId="6" borderId="0" xfId="0" applyNumberFormat="1" applyFont="1" applyFill="1" applyAlignment="1" applyProtection="1">
      <alignment vertical="top" wrapText="1"/>
    </xf>
    <xf numFmtId="0" fontId="10" fillId="0" borderId="0" xfId="0" applyNumberFormat="1" applyFont="1" applyFill="1" applyAlignment="1" applyProtection="1"/>
    <xf numFmtId="0" fontId="10" fillId="0" borderId="2" xfId="0" applyNumberFormat="1" applyFont="1" applyFill="1" applyBorder="1" applyAlignment="1" applyProtection="1">
      <alignment horizontal="center"/>
    </xf>
    <xf numFmtId="0" fontId="16" fillId="6" borderId="13" xfId="0" applyNumberFormat="1" applyFont="1" applyFill="1" applyBorder="1" applyAlignment="1" applyProtection="1">
      <alignment horizontal="right"/>
    </xf>
    <xf numFmtId="0" fontId="16" fillId="6" borderId="0" xfId="0" applyNumberFormat="1" applyFont="1" applyFill="1" applyAlignment="1" applyProtection="1"/>
    <xf numFmtId="0" fontId="16" fillId="6" borderId="14" xfId="0" applyNumberFormat="1" applyFont="1" applyFill="1" applyBorder="1" applyAlignment="1" applyProtection="1"/>
    <xf numFmtId="0" fontId="9" fillId="6" borderId="7" xfId="0" applyNumberFormat="1" applyFont="1" applyFill="1" applyBorder="1" applyAlignment="1" applyProtection="1">
      <alignment horizontal="right" wrapText="1"/>
    </xf>
    <xf numFmtId="0" fontId="9" fillId="6" borderId="2" xfId="0" applyNumberFormat="1" applyFont="1" applyFill="1" applyBorder="1" applyAlignment="1" applyProtection="1">
      <alignment horizontal="right" wrapText="1"/>
    </xf>
    <xf numFmtId="0" fontId="11" fillId="0" borderId="0" xfId="0" applyNumberFormat="1" applyFont="1" applyFill="1" applyAlignment="1" applyProtection="1">
      <alignment horizontal="center" vertical="center" wrapText="1"/>
    </xf>
    <xf numFmtId="0" fontId="16" fillId="6" borderId="15" xfId="0" applyNumberFormat="1" applyFont="1" applyFill="1" applyBorder="1" applyAlignment="1" applyProtection="1">
      <alignment horizontal="right"/>
    </xf>
    <xf numFmtId="0" fontId="16" fillId="6" borderId="3" xfId="0" applyNumberFormat="1" applyFont="1" applyFill="1" applyBorder="1" applyAlignment="1" applyProtection="1"/>
    <xf numFmtId="0" fontId="16" fillId="6" borderId="10" xfId="0" applyNumberFormat="1" applyFont="1" applyFill="1" applyBorder="1" applyAlignment="1" applyProtection="1"/>
    <xf numFmtId="0" fontId="9" fillId="6" borderId="6" xfId="0" applyNumberFormat="1" applyFont="1" applyFill="1" applyBorder="1" applyAlignment="1" applyProtection="1">
      <alignment horizontal="right" wrapText="1"/>
    </xf>
    <xf numFmtId="0" fontId="11" fillId="0" borderId="0" xfId="0" applyNumberFormat="1" applyFont="1" applyFill="1" applyAlignment="1" applyProtection="1">
      <alignment horizontal="center" wrapText="1"/>
    </xf>
    <xf numFmtId="0" fontId="11" fillId="12" borderId="2" xfId="0" applyNumberFormat="1" applyFont="1" applyFill="1" applyBorder="1" applyAlignment="1" applyProtection="1">
      <alignment horizontal="right"/>
    </xf>
    <xf numFmtId="0" fontId="10" fillId="7" borderId="7" xfId="0" applyNumberFormat="1" applyFont="1" applyFill="1" applyBorder="1" applyAlignment="1" applyProtection="1"/>
    <xf numFmtId="0" fontId="10" fillId="7" borderId="8" xfId="0" applyNumberFormat="1" applyFont="1" applyFill="1" applyBorder="1" applyAlignment="1" applyProtection="1"/>
    <xf numFmtId="0" fontId="10" fillId="7" borderId="9" xfId="0" applyNumberFormat="1" applyFont="1" applyFill="1" applyBorder="1" applyAlignment="1" applyProtection="1"/>
    <xf numFmtId="0" fontId="11" fillId="7" borderId="2" xfId="0" applyNumberFormat="1" applyFont="1" applyFill="1" applyBorder="1" applyAlignment="1" applyProtection="1"/>
    <xf numFmtId="0" fontId="10" fillId="7" borderId="2" xfId="0" applyNumberFormat="1" applyFont="1" applyFill="1" applyBorder="1" applyAlignment="1" applyProtection="1"/>
    <xf numFmtId="0" fontId="27" fillId="0" borderId="0" xfId="0" applyNumberFormat="1" applyFont="1" applyFill="1" applyAlignment="1" applyProtection="1">
      <alignment horizontal="center"/>
    </xf>
    <xf numFmtId="0" fontId="11" fillId="10" borderId="7" xfId="0" applyNumberFormat="1" applyFont="1" applyFill="1" applyBorder="1" applyAlignment="1" applyProtection="1">
      <alignment horizontal="left" indent="1"/>
    </xf>
    <xf numFmtId="0" fontId="11" fillId="10" borderId="8" xfId="0" applyNumberFormat="1" applyFont="1" applyFill="1" applyBorder="1" applyAlignment="1" applyProtection="1">
      <alignment horizontal="left"/>
    </xf>
    <xf numFmtId="0" fontId="11" fillId="10" borderId="8" xfId="0" applyNumberFormat="1" applyFont="1" applyFill="1" applyBorder="1" applyAlignment="1" applyProtection="1">
      <alignment horizontal="left" indent="1"/>
    </xf>
    <xf numFmtId="0" fontId="11" fillId="10" borderId="9" xfId="0" applyNumberFormat="1" applyFont="1" applyFill="1" applyBorder="1" applyAlignment="1" applyProtection="1">
      <alignment horizontal="left" indent="1"/>
    </xf>
    <xf numFmtId="37" fontId="8" fillId="10" borderId="2" xfId="0" applyNumberFormat="1" applyFont="1" applyFill="1" applyBorder="1" applyAlignment="1" applyProtection="1">
      <alignment horizontal="right"/>
      <protection locked="0"/>
    </xf>
    <xf numFmtId="37" fontId="24" fillId="9" borderId="2" xfId="0" applyNumberFormat="1" applyFont="1" applyFill="1" applyBorder="1" applyAlignment="1" applyProtection="1">
      <protection locked="0"/>
    </xf>
    <xf numFmtId="37" fontId="24" fillId="9" borderId="2" xfId="0" applyNumberFormat="1" applyFont="1" applyFill="1" applyBorder="1" applyAlignment="1" applyProtection="1"/>
    <xf numFmtId="0" fontId="11" fillId="0" borderId="0" xfId="0" applyNumberFormat="1" applyFont="1" applyFill="1" applyAlignment="1" applyProtection="1">
      <alignment horizontal="center"/>
    </xf>
    <xf numFmtId="0" fontId="11" fillId="0" borderId="2" xfId="0" applyNumberFormat="1" applyFont="1" applyFill="1" applyBorder="1" applyAlignment="1" applyProtection="1">
      <alignment horizontal="left"/>
      <protection locked="0"/>
    </xf>
    <xf numFmtId="37" fontId="8" fillId="10" borderId="2" xfId="0" applyNumberFormat="1" applyFont="1" applyFill="1" applyBorder="1" applyAlignment="1" applyProtection="1">
      <alignment horizontal="right"/>
    </xf>
    <xf numFmtId="0" fontId="11" fillId="10" borderId="8" xfId="0" applyNumberFormat="1" applyFont="1" applyFill="1" applyBorder="1" applyAlignment="1" applyProtection="1"/>
    <xf numFmtId="0" fontId="10" fillId="8" borderId="7" xfId="0" applyNumberFormat="1" applyFont="1" applyFill="1" applyBorder="1" applyAlignment="1" applyProtection="1"/>
    <xf numFmtId="0" fontId="10" fillId="8" borderId="8" xfId="0" applyNumberFormat="1" applyFont="1" applyFill="1" applyBorder="1" applyAlignment="1" applyProtection="1"/>
    <xf numFmtId="0" fontId="10" fillId="8" borderId="9" xfId="0" applyNumberFormat="1" applyFont="1" applyFill="1" applyBorder="1" applyAlignment="1" applyProtection="1"/>
    <xf numFmtId="37" fontId="11" fillId="8" borderId="2" xfId="0" applyNumberFormat="1" applyFont="1" applyFill="1" applyBorder="1" applyAlignment="1" applyProtection="1">
      <alignment horizontal="right"/>
    </xf>
    <xf numFmtId="0" fontId="11" fillId="10" borderId="7" xfId="0" applyNumberFormat="1" applyFont="1" applyFill="1" applyBorder="1" applyAlignment="1" applyProtection="1"/>
    <xf numFmtId="0" fontId="11" fillId="10" borderId="9" xfId="0" applyNumberFormat="1" applyFont="1" applyFill="1" applyBorder="1" applyAlignment="1" applyProtection="1"/>
    <xf numFmtId="0" fontId="11" fillId="10" borderId="2" xfId="0" applyNumberFormat="1" applyFont="1" applyFill="1" applyBorder="1" applyAlignment="1" applyProtection="1">
      <alignment horizontal="right"/>
    </xf>
    <xf numFmtId="0" fontId="11" fillId="7" borderId="2" xfId="0" applyNumberFormat="1" applyFont="1" applyFill="1" applyBorder="1" applyAlignment="1" applyProtection="1">
      <alignment horizontal="right"/>
    </xf>
    <xf numFmtId="0" fontId="11" fillId="10" borderId="7" xfId="0" applyNumberFormat="1" applyFont="1" applyFill="1" applyBorder="1" applyAlignment="1" applyProtection="1">
      <alignment vertical="top"/>
    </xf>
    <xf numFmtId="0" fontId="11" fillId="10" borderId="8" xfId="0" applyNumberFormat="1" applyFont="1" applyFill="1" applyBorder="1" applyAlignment="1" applyProtection="1">
      <alignment vertical="top"/>
    </xf>
    <xf numFmtId="0" fontId="11" fillId="10" borderId="9" xfId="0" applyNumberFormat="1" applyFont="1" applyFill="1" applyBorder="1" applyAlignment="1" applyProtection="1">
      <alignment vertical="top"/>
    </xf>
    <xf numFmtId="0" fontId="10" fillId="10" borderId="7" xfId="0" applyNumberFormat="1" applyFont="1" applyFill="1" applyBorder="1" applyAlignment="1" applyProtection="1"/>
    <xf numFmtId="0" fontId="10" fillId="10" borderId="8" xfId="0" applyNumberFormat="1" applyFont="1" applyFill="1" applyBorder="1" applyAlignment="1" applyProtection="1"/>
    <xf numFmtId="0" fontId="10" fillId="10" borderId="9" xfId="0" applyNumberFormat="1" applyFont="1" applyFill="1" applyBorder="1" applyAlignment="1" applyProtection="1"/>
    <xf numFmtId="0" fontId="11" fillId="0" borderId="0" xfId="0" applyNumberFormat="1" applyFont="1" applyFill="1" applyAlignment="1" applyProtection="1">
      <alignment horizontal="left"/>
    </xf>
    <xf numFmtId="0" fontId="8" fillId="10" borderId="2" xfId="0" applyNumberFormat="1" applyFont="1" applyFill="1" applyBorder="1" applyAlignment="1" applyProtection="1">
      <alignment horizontal="right"/>
    </xf>
    <xf numFmtId="37" fontId="11" fillId="10" borderId="2" xfId="0" applyNumberFormat="1" applyFont="1" applyFill="1" applyBorder="1" applyAlignment="1" applyProtection="1">
      <alignment horizontal="right"/>
    </xf>
    <xf numFmtId="0" fontId="11" fillId="8" borderId="2" xfId="0" applyNumberFormat="1" applyFont="1" applyFill="1" applyBorder="1" applyAlignment="1" applyProtection="1"/>
    <xf numFmtId="37" fontId="11" fillId="0" borderId="0" xfId="0" applyNumberFormat="1" applyFont="1" applyFill="1" applyAlignment="1" applyProtection="1">
      <alignment horizontal="center"/>
    </xf>
    <xf numFmtId="0" fontId="11" fillId="0" borderId="0" xfId="0" applyNumberFormat="1" applyFont="1" applyFill="1" applyAlignment="1" applyProtection="1">
      <alignment horizontal="right"/>
    </xf>
    <xf numFmtId="0" fontId="9" fillId="6" borderId="1" xfId="0" applyNumberFormat="1" applyFont="1" applyFill="1" applyBorder="1" applyAlignment="1" applyProtection="1">
      <alignment horizontal="left" vertical="top" wrapText="1"/>
    </xf>
    <xf numFmtId="0" fontId="9" fillId="6" borderId="12" xfId="0" applyNumberFormat="1" applyFont="1" applyFill="1" applyBorder="1" applyAlignment="1" applyProtection="1">
      <alignment vertical="top" wrapText="1"/>
    </xf>
    <xf numFmtId="0" fontId="20" fillId="0" borderId="0" xfId="0" applyNumberFormat="1" applyFont="1" applyFill="1" applyAlignment="1" applyProtection="1">
      <alignment vertical="top" wrapText="1"/>
    </xf>
    <xf numFmtId="0" fontId="9" fillId="6" borderId="13" xfId="0" applyNumberFormat="1" applyFont="1" applyFill="1" applyBorder="1" applyAlignment="1" applyProtection="1">
      <alignment horizontal="left" vertical="top" wrapText="1"/>
    </xf>
    <xf numFmtId="0" fontId="9" fillId="6" borderId="0" xfId="0" applyNumberFormat="1" applyFont="1" applyFill="1" applyAlignment="1" applyProtection="1">
      <alignment horizontal="left" vertical="top" wrapText="1"/>
    </xf>
    <xf numFmtId="0" fontId="17" fillId="6" borderId="13" xfId="0" applyNumberFormat="1" applyFont="1" applyFill="1" applyBorder="1" applyAlignment="1" applyProtection="1">
      <alignment horizontal="right" wrapText="1"/>
    </xf>
    <xf numFmtId="0" fontId="17" fillId="6" borderId="0" xfId="0" applyNumberFormat="1" applyFont="1" applyFill="1" applyAlignment="1" applyProtection="1">
      <alignment wrapText="1"/>
    </xf>
    <xf numFmtId="0" fontId="17" fillId="6" borderId="14" xfId="0" applyNumberFormat="1" applyFont="1" applyFill="1" applyBorder="1" applyAlignment="1" applyProtection="1">
      <alignment wrapText="1"/>
    </xf>
    <xf numFmtId="0" fontId="28" fillId="6" borderId="4" xfId="0" applyNumberFormat="1" applyFont="1" applyFill="1" applyBorder="1" applyAlignment="1" applyProtection="1">
      <alignment horizontal="right" vertical="center" wrapText="1"/>
    </xf>
    <xf numFmtId="0" fontId="28" fillId="6" borderId="4" xfId="0" applyNumberFormat="1" applyFont="1" applyFill="1" applyBorder="1" applyAlignment="1" applyProtection="1">
      <alignment horizontal="right" vertical="center"/>
    </xf>
    <xf numFmtId="0" fontId="28" fillId="6" borderId="4" xfId="0" applyNumberFormat="1" applyFont="1" applyFill="1" applyBorder="1" applyAlignment="1" applyProtection="1">
      <alignment horizontal="right"/>
    </xf>
    <xf numFmtId="0" fontId="28" fillId="6" borderId="5" xfId="0" applyNumberFormat="1" applyFont="1" applyFill="1" applyBorder="1" applyAlignment="1" applyProtection="1">
      <alignment horizontal="right"/>
    </xf>
    <xf numFmtId="0" fontId="17" fillId="6" borderId="3" xfId="0" applyNumberFormat="1" applyFont="1" applyFill="1" applyBorder="1" applyAlignment="1" applyProtection="1">
      <alignment wrapText="1"/>
    </xf>
    <xf numFmtId="0" fontId="17" fillId="6" borderId="10" xfId="0" applyNumberFormat="1" applyFont="1" applyFill="1" applyBorder="1" applyAlignment="1" applyProtection="1">
      <alignment wrapText="1"/>
    </xf>
    <xf numFmtId="0" fontId="9" fillId="6" borderId="6" xfId="0" applyNumberFormat="1" applyFont="1" applyFill="1" applyBorder="1" applyAlignment="1" applyProtection="1">
      <alignment horizontal="right"/>
    </xf>
    <xf numFmtId="0" fontId="11" fillId="12" borderId="2" xfId="0" applyNumberFormat="1" applyFont="1" applyFill="1" applyBorder="1" applyAlignment="1" applyProtection="1">
      <alignment horizontal="right" shrinkToFit="1"/>
    </xf>
    <xf numFmtId="0" fontId="11" fillId="10" borderId="8" xfId="0" applyNumberFormat="1" applyFont="1" applyFill="1" applyBorder="1" applyAlignment="1" applyProtection="1">
      <alignment horizontal="left" shrinkToFit="1"/>
    </xf>
    <xf numFmtId="0" fontId="17" fillId="10" borderId="8" xfId="0" applyNumberFormat="1" applyFont="1" applyFill="1" applyBorder="1" applyAlignment="1" applyProtection="1">
      <alignment horizontal="left" shrinkToFit="1"/>
    </xf>
    <xf numFmtId="0" fontId="10" fillId="8" borderId="7" xfId="0" applyNumberFormat="1" applyFont="1" applyFill="1" applyBorder="1" applyAlignment="1" applyProtection="1">
      <alignment shrinkToFit="1"/>
    </xf>
    <xf numFmtId="0" fontId="10" fillId="8" borderId="8" xfId="0" applyNumberFormat="1" applyFont="1" applyFill="1" applyBorder="1" applyAlignment="1" applyProtection="1">
      <alignment shrinkToFit="1"/>
    </xf>
    <xf numFmtId="0" fontId="10" fillId="8" borderId="9" xfId="0" applyNumberFormat="1" applyFont="1" applyFill="1" applyBorder="1" applyAlignment="1" applyProtection="1">
      <alignment shrinkToFit="1"/>
    </xf>
    <xf numFmtId="37" fontId="11" fillId="8" borderId="2" xfId="0" applyNumberFormat="1" applyFont="1" applyFill="1" applyBorder="1" applyAlignment="1" applyProtection="1">
      <alignment horizontal="right" shrinkToFit="1"/>
    </xf>
    <xf numFmtId="0" fontId="19" fillId="8" borderId="7" xfId="0" applyNumberFormat="1" applyFont="1" applyFill="1" applyBorder="1" applyAlignment="1" applyProtection="1">
      <alignment shrinkToFit="1"/>
    </xf>
    <xf numFmtId="0" fontId="11" fillId="8" borderId="8" xfId="0" applyNumberFormat="1" applyFont="1" applyFill="1" applyBorder="1" applyAlignment="1" applyProtection="1">
      <alignment horizontal="left" shrinkToFit="1"/>
    </xf>
    <xf numFmtId="0" fontId="11" fillId="0" borderId="0" xfId="0" applyNumberFormat="1" applyFont="1" applyFill="1" applyAlignment="1" applyProtection="1">
      <alignment wrapText="1"/>
    </xf>
    <xf numFmtId="0" fontId="11" fillId="0" borderId="0" xfId="0" applyNumberFormat="1" applyFont="1" applyFill="1" applyAlignment="1" applyProtection="1">
      <alignment shrinkToFit="1"/>
    </xf>
    <xf numFmtId="0" fontId="9" fillId="6" borderId="1" xfId="0" applyNumberFormat="1" applyFont="1" applyFill="1" applyBorder="1" applyAlignment="1" applyProtection="1">
      <alignment horizontal="right" vertical="top" wrapText="1"/>
    </xf>
    <xf numFmtId="0" fontId="18" fillId="6" borderId="12" xfId="0" applyNumberFormat="1" applyFont="1" applyFill="1" applyBorder="1" applyAlignment="1" applyProtection="1">
      <alignment vertical="top" wrapText="1"/>
    </xf>
    <xf numFmtId="0" fontId="18" fillId="6" borderId="3" xfId="0" applyNumberFormat="1" applyFont="1" applyFill="1" applyBorder="1" applyAlignment="1" applyProtection="1">
      <alignment vertical="top" wrapText="1"/>
    </xf>
    <xf numFmtId="0" fontId="17" fillId="6" borderId="13" xfId="0" applyNumberFormat="1" applyFont="1" applyFill="1" applyBorder="1" applyAlignment="1" applyProtection="1">
      <alignment horizontal="right"/>
    </xf>
    <xf numFmtId="0" fontId="17" fillId="6" borderId="0" xfId="0" applyNumberFormat="1" applyFont="1" applyFill="1" applyAlignment="1" applyProtection="1"/>
    <xf numFmtId="0" fontId="17" fillId="6" borderId="14" xfId="0" applyNumberFormat="1" applyFont="1" applyFill="1" applyBorder="1" applyAlignment="1" applyProtection="1"/>
    <xf numFmtId="0" fontId="9" fillId="6" borderId="2" xfId="0" applyNumberFormat="1" applyFont="1" applyFill="1" applyBorder="1" applyAlignment="1" applyProtection="1">
      <alignment horizontal="right" vertical="top" wrapText="1"/>
    </xf>
    <xf numFmtId="0" fontId="17" fillId="6" borderId="15" xfId="0" applyNumberFormat="1" applyFont="1" applyFill="1" applyBorder="1" applyAlignment="1" applyProtection="1">
      <alignment horizontal="right"/>
    </xf>
    <xf numFmtId="0" fontId="17" fillId="6" borderId="3" xfId="0" applyNumberFormat="1" applyFont="1" applyFill="1" applyBorder="1" applyAlignment="1" applyProtection="1"/>
    <xf numFmtId="0" fontId="17" fillId="6" borderId="10" xfId="0" applyNumberFormat="1" applyFont="1" applyFill="1" applyBorder="1" applyAlignment="1" applyProtection="1"/>
    <xf numFmtId="0" fontId="11" fillId="9" borderId="7" xfId="0" applyNumberFormat="1" applyFont="1" applyFill="1" applyBorder="1" applyAlignment="1" applyProtection="1">
      <alignment horizontal="left" indent="1"/>
    </xf>
    <xf numFmtId="0" fontId="11" fillId="9" borderId="8" xfId="0" applyNumberFormat="1" applyFont="1" applyFill="1" applyBorder="1" applyAlignment="1" applyProtection="1">
      <alignment horizontal="left"/>
    </xf>
    <xf numFmtId="0" fontId="11" fillId="9" borderId="8" xfId="0" applyNumberFormat="1" applyFont="1" applyFill="1" applyBorder="1" applyAlignment="1" applyProtection="1">
      <alignment horizontal="left" indent="1"/>
    </xf>
    <xf numFmtId="0" fontId="11" fillId="9" borderId="9" xfId="0" applyNumberFormat="1" applyFont="1" applyFill="1" applyBorder="1" applyAlignment="1" applyProtection="1">
      <alignment horizontal="left" indent="1"/>
    </xf>
    <xf numFmtId="0" fontId="11" fillId="8" borderId="7" xfId="0" applyNumberFormat="1" applyFont="1" applyFill="1" applyBorder="1" applyAlignment="1" applyProtection="1">
      <alignment horizontal="left" indent="1"/>
    </xf>
    <xf numFmtId="0" fontId="11" fillId="8" borderId="8" xfId="0" applyNumberFormat="1" applyFont="1" applyFill="1" applyBorder="1" applyAlignment="1" applyProtection="1">
      <alignment horizontal="left"/>
    </xf>
    <xf numFmtId="0" fontId="11" fillId="8" borderId="8" xfId="0" applyNumberFormat="1" applyFont="1" applyFill="1" applyBorder="1" applyAlignment="1" applyProtection="1">
      <alignment horizontal="left" indent="1"/>
    </xf>
    <xf numFmtId="0" fontId="11" fillId="8" borderId="9" xfId="0" applyNumberFormat="1" applyFont="1" applyFill="1" applyBorder="1" applyAlignment="1" applyProtection="1">
      <alignment horizontal="left" indent="1"/>
    </xf>
    <xf numFmtId="37" fontId="11" fillId="8" borderId="2" xfId="0" applyNumberFormat="1" applyFont="1" applyFill="1" applyBorder="1" applyAlignment="1" applyProtection="1">
      <alignment horizontal="right"/>
      <protection hidden="1"/>
    </xf>
    <xf numFmtId="0" fontId="11" fillId="8" borderId="7" xfId="0" applyNumberFormat="1" applyFont="1" applyFill="1" applyBorder="1" applyAlignment="1" applyProtection="1"/>
    <xf numFmtId="0" fontId="11" fillId="8" borderId="8" xfId="0" applyNumberFormat="1" applyFont="1" applyFill="1" applyBorder="1" applyAlignment="1" applyProtection="1"/>
    <xf numFmtId="0" fontId="11" fillId="8" borderId="9" xfId="0" applyNumberFormat="1" applyFont="1" applyFill="1" applyBorder="1" applyAlignment="1" applyProtection="1"/>
    <xf numFmtId="0" fontId="10" fillId="7" borderId="8" xfId="0" applyNumberFormat="1" applyFont="1" applyFill="1" applyBorder="1" applyAlignment="1" applyProtection="1">
      <alignment wrapText="1"/>
    </xf>
    <xf numFmtId="0" fontId="10" fillId="7" borderId="9" xfId="0" applyNumberFormat="1" applyFont="1" applyFill="1" applyBorder="1" applyAlignment="1" applyProtection="1">
      <alignment wrapText="1"/>
    </xf>
    <xf numFmtId="0" fontId="11" fillId="10" borderId="7" xfId="0" applyNumberFormat="1" applyFont="1" applyFill="1" applyBorder="1" applyAlignment="1" applyProtection="1">
      <alignment horizontal="left" vertical="center" indent="1"/>
    </xf>
    <xf numFmtId="0" fontId="11" fillId="10" borderId="8" xfId="0" applyNumberFormat="1" applyFont="1" applyFill="1" applyBorder="1" applyAlignment="1" applyProtection="1">
      <alignment horizontal="left" vertical="center"/>
    </xf>
    <xf numFmtId="0" fontId="11" fillId="10" borderId="8" xfId="0" applyNumberFormat="1" applyFont="1" applyFill="1" applyBorder="1" applyAlignment="1" applyProtection="1">
      <alignment horizontal="left" vertical="center" indent="1"/>
    </xf>
    <xf numFmtId="0" fontId="11" fillId="10" borderId="9" xfId="0" applyNumberFormat="1" applyFont="1" applyFill="1" applyBorder="1" applyAlignment="1" applyProtection="1">
      <alignment horizontal="left" vertical="center" indent="1"/>
    </xf>
    <xf numFmtId="0" fontId="11" fillId="8" borderId="7" xfId="0" applyNumberFormat="1" applyFont="1" applyFill="1" applyBorder="1" applyAlignment="1" applyProtection="1">
      <alignment horizontal="left"/>
    </xf>
    <xf numFmtId="0" fontId="11" fillId="8" borderId="9" xfId="0" applyNumberFormat="1" applyFont="1" applyFill="1" applyBorder="1" applyAlignment="1" applyProtection="1">
      <alignment horizontal="left"/>
    </xf>
    <xf numFmtId="37" fontId="11" fillId="10" borderId="2" xfId="0" applyNumberFormat="1" applyFont="1" applyFill="1" applyBorder="1" applyAlignment="1" applyProtection="1">
      <alignment horizontal="right"/>
      <protection hidden="1"/>
    </xf>
    <xf numFmtId="0" fontId="14" fillId="10" borderId="2" xfId="0" applyNumberFormat="1" applyFont="1" applyFill="1" applyBorder="1" applyAlignment="1" applyProtection="1">
      <alignment horizontal="right"/>
    </xf>
    <xf numFmtId="0" fontId="9" fillId="6" borderId="1" xfId="0" applyNumberFormat="1" applyFont="1" applyFill="1" applyBorder="1" applyAlignment="1" applyProtection="1"/>
    <xf numFmtId="0" fontId="9" fillId="6" borderId="12" xfId="0" applyNumberFormat="1" applyFont="1" applyFill="1" applyBorder="1" applyAlignment="1" applyProtection="1"/>
    <xf numFmtId="0" fontId="9" fillId="6" borderId="0" xfId="0" applyNumberFormat="1" applyFont="1" applyFill="1" applyAlignment="1" applyProtection="1">
      <alignment horizontal="center" vertical="top" wrapText="1"/>
    </xf>
    <xf numFmtId="0" fontId="9" fillId="6" borderId="13" xfId="0" applyNumberFormat="1" applyFont="1" applyFill="1" applyBorder="1" applyAlignment="1" applyProtection="1"/>
    <xf numFmtId="0" fontId="9" fillId="6" borderId="0" xfId="0" applyNumberFormat="1" applyFont="1" applyFill="1" applyAlignment="1" applyProtection="1"/>
    <xf numFmtId="0" fontId="9" fillId="6" borderId="3" xfId="0" applyNumberFormat="1" applyFont="1" applyFill="1" applyBorder="1" applyAlignment="1" applyProtection="1">
      <alignment horizontal="center" vertical="top" wrapText="1"/>
    </xf>
    <xf numFmtId="0" fontId="9" fillId="6" borderId="14" xfId="0" applyNumberFormat="1" applyFont="1" applyFill="1" applyBorder="1" applyAlignment="1" applyProtection="1"/>
    <xf numFmtId="0" fontId="9" fillId="6" borderId="6" xfId="0" applyNumberFormat="1" applyFont="1" applyFill="1" applyBorder="1" applyAlignment="1" applyProtection="1">
      <alignment horizontal="right" vertical="top" wrapText="1"/>
    </xf>
    <xf numFmtId="0" fontId="11" fillId="12" borderId="2" xfId="0" applyNumberFormat="1" applyFont="1" applyFill="1" applyBorder="1" applyAlignment="1" applyProtection="1"/>
    <xf numFmtId="0" fontId="11" fillId="0" borderId="7" xfId="0" applyNumberFormat="1" applyFont="1" applyFill="1" applyBorder="1" applyAlignment="1" applyProtection="1">
      <alignment horizontal="left"/>
    </xf>
    <xf numFmtId="0" fontId="11" fillId="0" borderId="9" xfId="0" applyNumberFormat="1" applyFont="1" applyFill="1" applyBorder="1" applyAlignment="1" applyProtection="1">
      <alignment horizontal="left"/>
    </xf>
    <xf numFmtId="0" fontId="11" fillId="0" borderId="9" xfId="0" applyNumberFormat="1" applyFont="1" applyFill="1" applyBorder="1" applyAlignment="1" applyProtection="1">
      <alignment horizontal="left" indent="1"/>
    </xf>
    <xf numFmtId="0" fontId="9" fillId="6" borderId="3" xfId="0" applyNumberFormat="1" applyFont="1" applyFill="1" applyBorder="1" applyAlignment="1" applyProtection="1">
      <alignment vertical="top" wrapText="1"/>
    </xf>
    <xf numFmtId="0" fontId="9" fillId="6" borderId="13" xfId="0" applyNumberFormat="1" applyFont="1" applyFill="1" applyBorder="1" applyAlignment="1" applyProtection="1">
      <alignment horizontal="right"/>
    </xf>
    <xf numFmtId="0" fontId="9" fillId="6" borderId="4" xfId="0" applyNumberFormat="1" applyFont="1" applyFill="1" applyBorder="1" applyAlignment="1" applyProtection="1">
      <alignment horizontal="right" wrapText="1"/>
    </xf>
    <xf numFmtId="0" fontId="9" fillId="6" borderId="3" xfId="0" applyNumberFormat="1" applyFont="1" applyFill="1" applyBorder="1" applyAlignment="1" applyProtection="1"/>
    <xf numFmtId="0" fontId="9" fillId="6" borderId="10" xfId="0" applyNumberFormat="1" applyFont="1" applyFill="1" applyBorder="1" applyAlignment="1" applyProtection="1"/>
    <xf numFmtId="0" fontId="6" fillId="2" borderId="6" xfId="0" applyNumberFormat="1" applyFont="1" applyFill="1" applyBorder="1" applyAlignment="1" applyProtection="1">
      <alignment horizontal="right"/>
    </xf>
    <xf numFmtId="0" fontId="11" fillId="9" borderId="7" xfId="0" applyNumberFormat="1" applyFont="1" applyFill="1" applyBorder="1" applyAlignment="1" applyProtection="1"/>
    <xf numFmtId="0" fontId="11" fillId="9" borderId="8" xfId="0" applyNumberFormat="1" applyFont="1" applyFill="1" applyBorder="1" applyAlignment="1" applyProtection="1"/>
    <xf numFmtId="0" fontId="11" fillId="9" borderId="9" xfId="0" applyNumberFormat="1" applyFont="1" applyFill="1" applyBorder="1" applyAlignment="1" applyProtection="1"/>
    <xf numFmtId="0" fontId="11" fillId="9" borderId="7" xfId="0" applyNumberFormat="1" applyFont="1" applyFill="1" applyBorder="1" applyAlignment="1" applyProtection="1">
      <alignment horizontal="left"/>
    </xf>
    <xf numFmtId="37" fontId="11" fillId="10" borderId="2" xfId="0" applyNumberFormat="1" applyFont="1" applyFill="1" applyBorder="1" applyAlignment="1" applyProtection="1">
      <alignment horizontal="left"/>
      <protection locked="0"/>
    </xf>
    <xf numFmtId="0" fontId="11" fillId="10" borderId="7" xfId="0" applyNumberFormat="1" applyFont="1" applyFill="1" applyBorder="1" applyAlignment="1" applyProtection="1">
      <alignment horizontal="left"/>
    </xf>
    <xf numFmtId="0" fontId="11" fillId="10" borderId="2" xfId="0" applyNumberFormat="1" applyFont="1" applyFill="1" applyBorder="1" applyAlignment="1" applyProtection="1"/>
    <xf numFmtId="37" fontId="11" fillId="8" borderId="2" xfId="0" applyNumberFormat="1" applyFont="1" applyFill="1" applyBorder="1" applyAlignment="1" applyProtection="1"/>
    <xf numFmtId="37" fontId="8" fillId="8" borderId="2" xfId="0" applyNumberFormat="1" applyFont="1" applyFill="1" applyBorder="1" applyAlignment="1" applyProtection="1">
      <protection locked="0"/>
    </xf>
    <xf numFmtId="37" fontId="11" fillId="8" borderId="2" xfId="0" applyNumberFormat="1" applyFont="1" applyFill="1" applyBorder="1" applyAlignment="1" applyProtection="1">
      <protection hidden="1"/>
    </xf>
    <xf numFmtId="0" fontId="19" fillId="6" borderId="0" xfId="0" applyNumberFormat="1" applyFont="1" applyFill="1" applyAlignment="1" applyProtection="1"/>
    <xf numFmtId="0" fontId="9" fillId="6" borderId="4" xfId="0" applyNumberFormat="1" applyFont="1" applyFill="1" applyBorder="1" applyAlignment="1" applyProtection="1">
      <alignment horizontal="center" wrapText="1"/>
    </xf>
    <xf numFmtId="0" fontId="19" fillId="6" borderId="13" xfId="0" applyNumberFormat="1" applyFont="1" applyFill="1" applyBorder="1" applyAlignment="1" applyProtection="1">
      <alignment horizontal="right"/>
    </xf>
    <xf numFmtId="0" fontId="19" fillId="6" borderId="14" xfId="0" applyNumberFormat="1" applyFont="1" applyFill="1" applyBorder="1" applyAlignment="1" applyProtection="1"/>
    <xf numFmtId="0" fontId="3" fillId="2" borderId="4" xfId="0" applyNumberFormat="1" applyFont="1" applyFill="1" applyBorder="1" applyAlignment="1" applyProtection="1">
      <alignment horizontal="center" wrapText="1"/>
    </xf>
    <xf numFmtId="0" fontId="28" fillId="6" borderId="5" xfId="0" applyNumberFormat="1" applyFont="1" applyFill="1" applyBorder="1" applyAlignment="1" applyProtection="1">
      <alignment horizontal="right" wrapText="1"/>
    </xf>
    <xf numFmtId="0" fontId="3" fillId="2" borderId="5" xfId="0" applyNumberFormat="1" applyFont="1" applyFill="1" applyBorder="1" applyAlignment="1" applyProtection="1">
      <alignment horizontal="right" wrapText="1"/>
    </xf>
    <xf numFmtId="0" fontId="3" fillId="2" borderId="13" xfId="0" applyNumberFormat="1" applyFont="1" applyFill="1" applyBorder="1" applyAlignment="1" applyProtection="1">
      <alignment horizontal="right" wrapText="1"/>
    </xf>
    <xf numFmtId="0" fontId="17" fillId="0" borderId="0" xfId="0" applyNumberFormat="1" applyFont="1" applyFill="1" applyAlignment="1" applyProtection="1"/>
    <xf numFmtId="0" fontId="11" fillId="13" borderId="2" xfId="0" applyNumberFormat="1" applyFont="1" applyFill="1" applyBorder="1" applyAlignment="1" applyProtection="1">
      <alignment horizontal="right"/>
    </xf>
    <xf numFmtId="0" fontId="10" fillId="3" borderId="7" xfId="0" applyNumberFormat="1" applyFont="1" applyFill="1" applyBorder="1" applyAlignment="1" applyProtection="1">
      <alignment horizontal="left"/>
    </xf>
    <xf numFmtId="0" fontId="10" fillId="3" borderId="8" xfId="0" applyNumberFormat="1" applyFont="1" applyFill="1" applyBorder="1" applyAlignment="1" applyProtection="1">
      <alignment horizontal="left"/>
    </xf>
    <xf numFmtId="0" fontId="10" fillId="3" borderId="9" xfId="0" applyNumberFormat="1" applyFont="1" applyFill="1" applyBorder="1" applyAlignment="1" applyProtection="1">
      <alignment horizontal="left"/>
    </xf>
    <xf numFmtId="0" fontId="11" fillId="4" borderId="7" xfId="0" applyNumberFormat="1" applyFont="1" applyFill="1" applyBorder="1" applyAlignment="1" applyProtection="1">
      <alignment horizontal="left"/>
    </xf>
    <xf numFmtId="0" fontId="11" fillId="4" borderId="8" xfId="0" applyNumberFormat="1" applyFont="1" applyFill="1" applyBorder="1" applyAlignment="1" applyProtection="1">
      <alignment horizontal="left"/>
    </xf>
    <xf numFmtId="0" fontId="11" fillId="4" borderId="8" xfId="0" applyNumberFormat="1" applyFont="1" applyFill="1" applyBorder="1" applyAlignment="1" applyProtection="1">
      <alignment horizontal="left" indent="1"/>
    </xf>
    <xf numFmtId="0" fontId="11" fillId="4" borderId="9" xfId="0" applyNumberFormat="1" applyFont="1" applyFill="1" applyBorder="1" applyAlignment="1" applyProtection="1">
      <alignment horizontal="left" indent="1"/>
    </xf>
    <xf numFmtId="37" fontId="11" fillId="0" borderId="2" xfId="0" applyNumberFormat="1" applyFont="1" applyFill="1" applyBorder="1" applyAlignment="1" applyProtection="1"/>
    <xf numFmtId="0" fontId="11" fillId="5" borderId="7" xfId="0" applyNumberFormat="1" applyFont="1" applyFill="1" applyBorder="1" applyAlignment="1" applyProtection="1">
      <alignment horizontal="left"/>
    </xf>
    <xf numFmtId="0" fontId="11" fillId="5" borderId="8" xfId="0" applyNumberFormat="1" applyFont="1" applyFill="1" applyBorder="1" applyAlignment="1" applyProtection="1">
      <alignment horizontal="left"/>
    </xf>
    <xf numFmtId="0" fontId="11" fillId="5" borderId="9" xfId="0" applyNumberFormat="1" applyFont="1" applyFill="1" applyBorder="1" applyAlignment="1" applyProtection="1">
      <alignment horizontal="left"/>
    </xf>
    <xf numFmtId="0" fontId="14" fillId="0" borderId="2" xfId="0" applyNumberFormat="1" applyFont="1" applyFill="1" applyBorder="1" applyAlignment="1" applyProtection="1"/>
    <xf numFmtId="0" fontId="11" fillId="4" borderId="9" xfId="0" applyNumberFormat="1" applyFont="1" applyFill="1" applyBorder="1" applyAlignment="1" applyProtection="1">
      <alignment horizontal="left"/>
    </xf>
    <xf numFmtId="0" fontId="14" fillId="7" borderId="2" xfId="0" applyNumberFormat="1" applyFont="1" applyFill="1" applyBorder="1" applyAlignment="1" applyProtection="1"/>
    <xf numFmtId="0" fontId="11" fillId="4" borderId="7" xfId="0" applyNumberFormat="1" applyFont="1" applyFill="1" applyBorder="1" applyAlignment="1" applyProtection="1">
      <alignment horizontal="left" indent="1"/>
    </xf>
    <xf numFmtId="0" fontId="11" fillId="4" borderId="7" xfId="0" applyNumberFormat="1" applyFont="1" applyFill="1" applyBorder="1" applyAlignment="1" applyProtection="1"/>
    <xf numFmtId="0" fontId="11" fillId="4" borderId="8" xfId="0" applyNumberFormat="1" applyFont="1" applyFill="1" applyBorder="1" applyAlignment="1" applyProtection="1"/>
    <xf numFmtId="0" fontId="11" fillId="4" borderId="9" xfId="0" applyNumberFormat="1" applyFont="1" applyFill="1" applyBorder="1" applyAlignment="1" applyProtection="1"/>
    <xf numFmtId="0" fontId="7" fillId="0" borderId="0" xfId="0" applyNumberFormat="1" applyFont="1" applyFill="1" applyAlignment="1" applyProtection="1"/>
    <xf numFmtId="0" fontId="1" fillId="0" borderId="0" xfId="0" applyNumberFormat="1" applyFont="1" applyFill="1" applyAlignment="1" applyProtection="1"/>
    <xf numFmtId="0" fontId="6" fillId="2" borderId="1" xfId="0" applyNumberFormat="1" applyFont="1" applyFill="1" applyBorder="1" applyAlignment="1" applyProtection="1">
      <alignment horizontal="left" vertical="top"/>
    </xf>
    <xf numFmtId="0" fontId="6" fillId="2" borderId="13" xfId="0" applyNumberFormat="1" applyFont="1" applyFill="1" applyBorder="1" applyAlignment="1" applyProtection="1">
      <alignment horizontal="left" vertical="top"/>
    </xf>
    <xf numFmtId="0" fontId="6" fillId="2" borderId="0" xfId="0" applyNumberFormat="1" applyFont="1" applyFill="1" applyAlignment="1" applyProtection="1">
      <alignment horizontal="left" vertical="top" wrapText="1"/>
    </xf>
    <xf numFmtId="0" fontId="21" fillId="2" borderId="15" xfId="0" applyNumberFormat="1" applyFont="1" applyFill="1" applyBorder="1" applyAlignment="1" applyProtection="1">
      <alignment horizontal="right"/>
    </xf>
    <xf numFmtId="0" fontId="21" fillId="2" borderId="3" xfId="0" applyNumberFormat="1" applyFont="1" applyFill="1" applyBorder="1" applyAlignment="1" applyProtection="1"/>
    <xf numFmtId="0" fontId="6" fillId="2" borderId="2" xfId="0" applyNumberFormat="1" applyFont="1" applyFill="1" applyBorder="1" applyAlignment="1" applyProtection="1">
      <alignment horizontal="right" wrapText="1"/>
    </xf>
    <xf numFmtId="0" fontId="27" fillId="0" borderId="0" xfId="0" applyNumberFormat="1" applyFont="1" applyFill="1" applyAlignment="1" applyProtection="1">
      <alignment horizontal="center" vertical="center"/>
    </xf>
    <xf numFmtId="0" fontId="1" fillId="12" borderId="2" xfId="0" applyNumberFormat="1" applyFont="1" applyFill="1" applyBorder="1" applyAlignment="1" applyProtection="1">
      <alignment horizontal="right"/>
    </xf>
    <xf numFmtId="0" fontId="2" fillId="3" borderId="7" xfId="0" applyNumberFormat="1" applyFont="1" applyFill="1" applyBorder="1" applyAlignment="1" applyProtection="1">
      <alignment horizontal="left"/>
    </xf>
    <xf numFmtId="0" fontId="2" fillId="3" borderId="8" xfId="0" applyNumberFormat="1" applyFont="1" applyFill="1" applyBorder="1" applyAlignment="1" applyProtection="1">
      <alignment horizontal="left"/>
    </xf>
    <xf numFmtId="0" fontId="2" fillId="3" borderId="9" xfId="0" applyNumberFormat="1" applyFont="1" applyFill="1" applyBorder="1" applyAlignment="1" applyProtection="1">
      <alignment horizontal="left"/>
    </xf>
    <xf numFmtId="0" fontId="1" fillId="3" borderId="2" xfId="0" applyNumberFormat="1" applyFont="1" applyFill="1" applyBorder="1" applyAlignment="1" applyProtection="1"/>
    <xf numFmtId="0" fontId="1" fillId="3" borderId="7" xfId="0" applyNumberFormat="1" applyFont="1" applyFill="1" applyBorder="1" applyAlignment="1" applyProtection="1">
      <alignment horizontal="left" indent="1"/>
    </xf>
    <xf numFmtId="0" fontId="1" fillId="3" borderId="8" xfId="0" applyNumberFormat="1" applyFont="1" applyFill="1" applyBorder="1" applyAlignment="1" applyProtection="1">
      <alignment horizontal="left"/>
    </xf>
    <xf numFmtId="0" fontId="1" fillId="3" borderId="8" xfId="0" applyNumberFormat="1" applyFont="1" applyFill="1" applyBorder="1" applyAlignment="1" applyProtection="1">
      <alignment horizontal="left"/>
      <protection hidden="1"/>
    </xf>
    <xf numFmtId="0" fontId="1" fillId="3" borderId="8" xfId="0" applyNumberFormat="1" applyFont="1" applyFill="1" applyBorder="1" applyAlignment="1" applyProtection="1">
      <alignment horizontal="left" indent="1"/>
    </xf>
    <xf numFmtId="0" fontId="1" fillId="3" borderId="9" xfId="0" applyNumberFormat="1" applyFont="1" applyFill="1" applyBorder="1" applyAlignment="1" applyProtection="1">
      <alignment horizontal="left" indent="1"/>
    </xf>
    <xf numFmtId="37" fontId="1" fillId="3" borderId="2" xfId="0" applyNumberFormat="1" applyFont="1" applyFill="1" applyBorder="1" applyAlignment="1" applyProtection="1"/>
    <xf numFmtId="0" fontId="1" fillId="4" borderId="7" xfId="0" applyNumberFormat="1" applyFont="1" applyFill="1" applyBorder="1" applyAlignment="1" applyProtection="1">
      <alignment horizontal="left" indent="2"/>
    </xf>
    <xf numFmtId="0" fontId="1" fillId="4" borderId="8" xfId="0" applyNumberFormat="1" applyFont="1" applyFill="1" applyBorder="1" applyAlignment="1" applyProtection="1">
      <alignment horizontal="left" indent="2"/>
    </xf>
    <xf numFmtId="0" fontId="1" fillId="4" borderId="8" xfId="0" applyNumberFormat="1" applyFont="1" applyFill="1" applyBorder="1" applyAlignment="1" applyProtection="1">
      <alignment horizontal="left"/>
    </xf>
    <xf numFmtId="0" fontId="1" fillId="4" borderId="9" xfId="0" applyNumberFormat="1" applyFont="1" applyFill="1" applyBorder="1" applyAlignment="1" applyProtection="1">
      <alignment horizontal="left" indent="2"/>
    </xf>
    <xf numFmtId="37" fontId="8" fillId="4" borderId="2" xfId="0" applyNumberFormat="1" applyFont="1" applyFill="1" applyBorder="1" applyAlignment="1" applyProtection="1">
      <alignment horizontal="right"/>
      <protection locked="0"/>
    </xf>
    <xf numFmtId="0" fontId="13" fillId="5" borderId="7" xfId="0" applyNumberFormat="1" applyFont="1" applyFill="1" applyBorder="1" applyAlignment="1" applyProtection="1">
      <alignment horizontal="left"/>
    </xf>
    <xf numFmtId="0" fontId="13" fillId="5" borderId="8" xfId="0" applyNumberFormat="1" applyFont="1" applyFill="1" applyBorder="1" applyAlignment="1" applyProtection="1">
      <alignment horizontal="left"/>
    </xf>
    <xf numFmtId="0" fontId="13" fillId="5" borderId="8" xfId="0" applyNumberFormat="1" applyFont="1" applyFill="1" applyBorder="1" applyAlignment="1" applyProtection="1">
      <alignment horizontal="left" indent="1"/>
    </xf>
    <xf numFmtId="0" fontId="13" fillId="5" borderId="9" xfId="0" applyNumberFormat="1" applyFont="1" applyFill="1" applyBorder="1" applyAlignment="1" applyProtection="1">
      <alignment horizontal="left" indent="1"/>
    </xf>
    <xf numFmtId="37" fontId="1" fillId="5" borderId="2" xfId="0" applyNumberFormat="1" applyFont="1" applyFill="1" applyBorder="1" applyAlignment="1" applyProtection="1">
      <alignment horizontal="right"/>
    </xf>
    <xf numFmtId="37" fontId="1" fillId="7" borderId="2" xfId="0" applyNumberFormat="1" applyFont="1" applyFill="1" applyBorder="1" applyAlignment="1" applyProtection="1">
      <protection hidden="1"/>
    </xf>
    <xf numFmtId="37" fontId="1" fillId="4" borderId="2" xfId="0" applyNumberFormat="1" applyFont="1" applyFill="1" applyBorder="1" applyAlignment="1" applyProtection="1">
      <alignment horizontal="right"/>
    </xf>
    <xf numFmtId="37" fontId="11" fillId="4" borderId="2" xfId="0" applyNumberFormat="1" applyFont="1" applyFill="1" applyBorder="1" applyAlignment="1" applyProtection="1">
      <alignment horizontal="right"/>
    </xf>
    <xf numFmtId="0" fontId="0" fillId="8" borderId="0" xfId="0" applyNumberFormat="1" applyFill="1" applyAlignment="1" applyProtection="1">
      <alignment horizontal="center"/>
    </xf>
    <xf numFmtId="37" fontId="11" fillId="5" borderId="2" xfId="0" applyNumberFormat="1" applyFont="1" applyFill="1" applyBorder="1" applyAlignment="1" applyProtection="1">
      <alignment horizontal="right"/>
    </xf>
    <xf numFmtId="0" fontId="1" fillId="14" borderId="8" xfId="0" applyNumberFormat="1" applyFont="1" applyFill="1" applyBorder="1" applyAlignment="1" applyProtection="1">
      <alignment horizontal="left"/>
    </xf>
    <xf numFmtId="0" fontId="1" fillId="14" borderId="8" xfId="0" applyNumberFormat="1" applyFont="1" applyFill="1" applyBorder="1" applyAlignment="1" applyProtection="1">
      <alignment horizontal="left" indent="2"/>
    </xf>
    <xf numFmtId="0" fontId="13" fillId="10" borderId="8" xfId="0" applyNumberFormat="1" applyFont="1" applyFill="1" applyBorder="1" applyAlignment="1" applyProtection="1">
      <alignment horizontal="left" indent="1"/>
    </xf>
    <xf numFmtId="0" fontId="13" fillId="10" borderId="9" xfId="0" applyNumberFormat="1" applyFont="1" applyFill="1" applyBorder="1" applyAlignment="1" applyProtection="1">
      <alignment horizontal="left" indent="1"/>
    </xf>
    <xf numFmtId="0" fontId="13" fillId="3" borderId="7" xfId="0" applyNumberFormat="1" applyFont="1" applyFill="1" applyBorder="1" applyAlignment="1" applyProtection="1">
      <alignment horizontal="left" indent="1"/>
    </xf>
    <xf numFmtId="0" fontId="13" fillId="3" borderId="8" xfId="0" applyNumberFormat="1" applyFont="1" applyFill="1" applyBorder="1" applyAlignment="1" applyProtection="1">
      <alignment horizontal="left" indent="1"/>
    </xf>
    <xf numFmtId="0" fontId="13" fillId="3" borderId="8" xfId="0" applyNumberFormat="1" applyFont="1" applyFill="1" applyBorder="1" applyAlignment="1" applyProtection="1">
      <alignment horizontal="left"/>
    </xf>
    <xf numFmtId="0" fontId="13" fillId="3" borderId="9" xfId="0" applyNumberFormat="1" applyFont="1" applyFill="1" applyBorder="1" applyAlignment="1" applyProtection="1">
      <alignment horizontal="left" indent="1"/>
    </xf>
    <xf numFmtId="0" fontId="1" fillId="3" borderId="2" xfId="0" applyNumberFormat="1" applyFont="1" applyFill="1" applyBorder="1" applyAlignment="1" applyProtection="1">
      <protection hidden="1"/>
    </xf>
    <xf numFmtId="37" fontId="8" fillId="4" borderId="2" xfId="0" applyNumberFormat="1" applyFont="1" applyFill="1" applyBorder="1" applyAlignment="1" applyProtection="1">
      <protection locked="0"/>
    </xf>
    <xf numFmtId="37" fontId="1" fillId="4" borderId="2" xfId="0" applyNumberFormat="1" applyFont="1" applyFill="1" applyBorder="1" applyAlignment="1" applyProtection="1"/>
    <xf numFmtId="37" fontId="1" fillId="5" borderId="2" xfId="0" applyNumberFormat="1" applyFont="1" applyFill="1" applyBorder="1" applyAlignment="1" applyProtection="1"/>
    <xf numFmtId="0" fontId="13" fillId="7" borderId="7" xfId="0" applyNumberFormat="1" applyFont="1" applyFill="1" applyBorder="1" applyAlignment="1" applyProtection="1">
      <alignment horizontal="left" indent="1"/>
    </xf>
    <xf numFmtId="0" fontId="1" fillId="3" borderId="8" xfId="0" applyNumberFormat="1" applyFont="1" applyFill="1" applyBorder="1" applyAlignment="1" applyProtection="1">
      <alignment horizontal="left" indent="2"/>
    </xf>
    <xf numFmtId="0" fontId="13" fillId="7" borderId="9" xfId="0" applyNumberFormat="1" applyFont="1" applyFill="1" applyBorder="1" applyAlignment="1" applyProtection="1">
      <alignment horizontal="left" indent="1"/>
    </xf>
    <xf numFmtId="37" fontId="1" fillId="4" borderId="2" xfId="0" applyNumberFormat="1" applyFont="1" applyFill="1" applyBorder="1" applyAlignment="1" applyProtection="1">
      <alignment horizontal="right"/>
      <protection hidden="1"/>
    </xf>
    <xf numFmtId="0" fontId="13" fillId="5" borderId="8" xfId="0" applyNumberFormat="1" applyFont="1" applyFill="1" applyBorder="1" applyAlignment="1" applyProtection="1">
      <alignment horizontal="left" indent="2"/>
    </xf>
    <xf numFmtId="0" fontId="13" fillId="5" borderId="9" xfId="0" applyNumberFormat="1" applyFont="1" applyFill="1" applyBorder="1" applyAlignment="1" applyProtection="1">
      <alignment horizontal="left" indent="2"/>
    </xf>
    <xf numFmtId="37" fontId="1" fillId="5" borderId="2" xfId="0" applyNumberFormat="1" applyFont="1" applyFill="1" applyBorder="1" applyAlignment="1" applyProtection="1">
      <alignment horizontal="right"/>
      <protection hidden="1"/>
    </xf>
    <xf numFmtId="37" fontId="8" fillId="4" borderId="2" xfId="0" applyNumberFormat="1" applyFont="1" applyFill="1" applyBorder="1" applyAlignment="1" applyProtection="1">
      <protection hidden="1"/>
    </xf>
    <xf numFmtId="0" fontId="1" fillId="5" borderId="7" xfId="0" applyNumberFormat="1" applyFont="1" applyFill="1" applyBorder="1" applyAlignment="1" applyProtection="1">
      <alignment horizontal="left"/>
    </xf>
    <xf numFmtId="0" fontId="1" fillId="5" borderId="8" xfId="0" applyNumberFormat="1" applyFont="1" applyFill="1" applyBorder="1" applyAlignment="1" applyProtection="1">
      <alignment horizontal="left"/>
    </xf>
    <xf numFmtId="0" fontId="1" fillId="5" borderId="9" xfId="0" applyNumberFormat="1" applyFont="1" applyFill="1" applyBorder="1" applyAlignment="1" applyProtection="1">
      <alignment horizontal="left"/>
    </xf>
    <xf numFmtId="0" fontId="1" fillId="5" borderId="2" xfId="0" applyNumberFormat="1" applyFont="1" applyFill="1" applyBorder="1" applyAlignment="1" applyProtection="1">
      <alignment horizontal="right"/>
      <protection hidden="1"/>
    </xf>
    <xf numFmtId="0" fontId="1" fillId="0" borderId="0" xfId="0" applyNumberFormat="1" applyFont="1" applyFill="1" applyAlignment="1" applyProtection="1">
      <protection hidden="1"/>
    </xf>
    <xf numFmtId="0" fontId="1" fillId="4" borderId="7" xfId="0" applyNumberFormat="1" applyFont="1" applyFill="1" applyBorder="1" applyAlignment="1" applyProtection="1">
      <alignment horizontal="left"/>
    </xf>
    <xf numFmtId="0" fontId="1" fillId="4" borderId="9" xfId="0" applyNumberFormat="1" applyFont="1" applyFill="1" applyBorder="1" applyAlignment="1" applyProtection="1">
      <alignment horizontal="left"/>
    </xf>
    <xf numFmtId="0" fontId="1" fillId="4" borderId="2" xfId="0" applyNumberFormat="1" applyFont="1" applyFill="1" applyBorder="1" applyAlignment="1" applyProtection="1">
      <alignment horizontal="right"/>
      <protection hidden="1"/>
    </xf>
    <xf numFmtId="0" fontId="1" fillId="3" borderId="2" xfId="0" applyNumberFormat="1" applyFont="1" applyFill="1" applyBorder="1" applyAlignment="1" applyProtection="1">
      <alignment horizontal="right"/>
      <protection hidden="1"/>
    </xf>
    <xf numFmtId="0" fontId="1" fillId="4" borderId="7" xfId="0" applyNumberFormat="1" applyFont="1" applyFill="1" applyBorder="1" applyAlignment="1" applyProtection="1">
      <alignment horizontal="left" indent="1"/>
    </xf>
    <xf numFmtId="0" fontId="1" fillId="5" borderId="7" xfId="0" applyNumberFormat="1" applyFont="1" applyFill="1" applyBorder="1" applyAlignment="1" applyProtection="1"/>
    <xf numFmtId="0" fontId="1" fillId="5" borderId="8" xfId="0" applyNumberFormat="1" applyFont="1" applyFill="1" applyBorder="1" applyAlignment="1" applyProtection="1"/>
    <xf numFmtId="0" fontId="1" fillId="5" borderId="9" xfId="0" applyNumberFormat="1" applyFont="1" applyFill="1" applyBorder="1" applyAlignment="1" applyProtection="1"/>
    <xf numFmtId="0" fontId="1" fillId="4" borderId="7" xfId="0" applyNumberFormat="1" applyFont="1" applyFill="1" applyBorder="1" applyAlignment="1" applyProtection="1"/>
    <xf numFmtId="0" fontId="1" fillId="4" borderId="8" xfId="0" applyNumberFormat="1" applyFont="1" applyFill="1" applyBorder="1" applyAlignment="1" applyProtection="1"/>
    <xf numFmtId="0" fontId="1" fillId="4" borderId="9" xfId="0" applyNumberFormat="1" applyFont="1" applyFill="1" applyBorder="1" applyAlignment="1" applyProtection="1"/>
    <xf numFmtId="0" fontId="1" fillId="4" borderId="2" xfId="0" applyNumberFormat="1" applyFont="1" applyFill="1" applyBorder="1" applyAlignment="1" applyProtection="1">
      <protection hidden="1"/>
    </xf>
    <xf numFmtId="0" fontId="1" fillId="5" borderId="8" xfId="0" applyNumberFormat="1" applyFont="1" applyFill="1" applyBorder="1" applyAlignment="1" applyProtection="1">
      <alignment horizontal="left" indent="2"/>
    </xf>
    <xf numFmtId="0" fontId="2" fillId="8" borderId="9" xfId="0" applyNumberFormat="1" applyFont="1" applyFill="1" applyBorder="1" applyAlignment="1" applyProtection="1">
      <alignment horizontal="left"/>
    </xf>
    <xf numFmtId="0" fontId="1" fillId="8" borderId="2" xfId="0" applyNumberFormat="1" applyFont="1" applyFill="1" applyBorder="1" applyAlignment="1" applyProtection="1">
      <alignment horizontal="right"/>
      <protection hidden="1"/>
    </xf>
    <xf numFmtId="0" fontId="1" fillId="0" borderId="0" xfId="0" applyNumberFormat="1" applyFont="1" applyFill="1" applyAlignment="1" applyProtection="1">
      <alignment horizontal="right"/>
    </xf>
    <xf numFmtId="0" fontId="6" fillId="2" borderId="1" xfId="0" applyNumberFormat="1" applyFont="1" applyFill="1" applyBorder="1" applyAlignment="1" applyProtection="1">
      <alignment horizontal="left"/>
    </xf>
    <xf numFmtId="0" fontId="6" fillId="2" borderId="12" xfId="0" applyNumberFormat="1" applyFont="1" applyFill="1" applyBorder="1" applyAlignment="1" applyProtection="1">
      <alignment horizontal="left"/>
    </xf>
    <xf numFmtId="0" fontId="3" fillId="2" borderId="11" xfId="0" applyNumberFormat="1" applyFont="1" applyFill="1" applyBorder="1" applyAlignment="1" applyProtection="1"/>
    <xf numFmtId="0" fontId="3" fillId="2" borderId="13" xfId="0" applyNumberFormat="1" applyFont="1" applyFill="1" applyBorder="1" applyAlignment="1" applyProtection="1">
      <alignment horizontal="right"/>
    </xf>
    <xf numFmtId="0" fontId="3" fillId="2" borderId="0" xfId="0" applyNumberFormat="1" applyFont="1" applyFill="1" applyAlignment="1" applyProtection="1"/>
    <xf numFmtId="0" fontId="3" fillId="2" borderId="14" xfId="0" applyNumberFormat="1" applyFont="1" applyFill="1" applyBorder="1" applyAlignment="1" applyProtection="1"/>
    <xf numFmtId="0" fontId="21" fillId="2" borderId="0" xfId="0" applyNumberFormat="1" applyFont="1" applyFill="1" applyAlignment="1" applyProtection="1"/>
    <xf numFmtId="0" fontId="3" fillId="2" borderId="3" xfId="0" applyNumberFormat="1" applyFont="1" applyFill="1" applyBorder="1" applyAlignment="1" applyProtection="1"/>
    <xf numFmtId="0" fontId="1" fillId="4" borderId="8" xfId="0" applyNumberFormat="1" applyFont="1" applyFill="1" applyBorder="1" applyAlignment="1" applyProtection="1">
      <alignment horizontal="left" wrapText="1" indent="1"/>
    </xf>
    <xf numFmtId="0" fontId="1" fillId="4" borderId="9" xfId="0" applyNumberFormat="1" applyFont="1" applyFill="1" applyBorder="1" applyAlignment="1" applyProtection="1">
      <alignment horizontal="left" wrapText="1" indent="1"/>
    </xf>
    <xf numFmtId="0" fontId="1" fillId="4" borderId="7" xfId="0" applyNumberFormat="1" applyFont="1" applyFill="1" applyBorder="1" applyAlignment="1" applyProtection="1">
      <alignment horizontal="left" wrapText="1" indent="2"/>
    </xf>
    <xf numFmtId="0" fontId="1" fillId="4" borderId="8" xfId="0" applyNumberFormat="1" applyFont="1" applyFill="1" applyBorder="1" applyAlignment="1" applyProtection="1">
      <alignment horizontal="left" wrapText="1" indent="2"/>
    </xf>
    <xf numFmtId="0" fontId="1" fillId="4" borderId="8" xfId="0" applyNumberFormat="1" applyFont="1" applyFill="1" applyBorder="1" applyAlignment="1" applyProtection="1">
      <alignment horizontal="left" wrapText="1"/>
    </xf>
    <xf numFmtId="0" fontId="1" fillId="4" borderId="9" xfId="0" applyNumberFormat="1" applyFont="1" applyFill="1" applyBorder="1" applyAlignment="1" applyProtection="1">
      <alignment horizontal="left" wrapText="1" indent="2"/>
    </xf>
    <xf numFmtId="0" fontId="1" fillId="5" borderId="8" xfId="0" applyNumberFormat="1" applyFont="1" applyFill="1" applyBorder="1" applyAlignment="1" applyProtection="1">
      <alignment horizontal="left" wrapText="1" indent="1"/>
    </xf>
    <xf numFmtId="0" fontId="1" fillId="5" borderId="9" xfId="0" applyNumberFormat="1" applyFont="1" applyFill="1" applyBorder="1" applyAlignment="1" applyProtection="1">
      <alignment horizontal="left" wrapText="1" indent="1"/>
    </xf>
    <xf numFmtId="0" fontId="1" fillId="4" borderId="8" xfId="0" applyNumberFormat="1" applyFont="1" applyFill="1" applyBorder="1" applyAlignment="1" applyProtection="1">
      <alignment horizontal="left" indent="1"/>
    </xf>
    <xf numFmtId="0" fontId="1" fillId="4" borderId="9" xfId="0" applyNumberFormat="1" applyFont="1" applyFill="1" applyBorder="1" applyAlignment="1" applyProtection="1">
      <alignment horizontal="left" indent="1"/>
    </xf>
    <xf numFmtId="0" fontId="1" fillId="5" borderId="7" xfId="0" applyNumberFormat="1" applyFont="1" applyFill="1" applyBorder="1" applyAlignment="1" applyProtection="1">
      <alignment horizontal="left" indent="1"/>
    </xf>
    <xf numFmtId="0" fontId="1" fillId="5" borderId="8" xfId="0" applyNumberFormat="1" applyFont="1" applyFill="1" applyBorder="1" applyAlignment="1" applyProtection="1">
      <alignment horizontal="left" indent="1"/>
    </xf>
    <xf numFmtId="0" fontId="1" fillId="5" borderId="9" xfId="0" applyNumberFormat="1" applyFont="1" applyFill="1" applyBorder="1" applyAlignment="1" applyProtection="1">
      <alignment horizontal="left" indent="1"/>
    </xf>
    <xf numFmtId="37" fontId="8" fillId="4" borderId="2" xfId="0" applyNumberFormat="1" applyFont="1" applyFill="1" applyBorder="1" applyAlignment="1" applyProtection="1"/>
    <xf numFmtId="0" fontId="2" fillId="3" borderId="2" xfId="0" applyNumberFormat="1" applyFont="1" applyFill="1" applyBorder="1" applyAlignment="1" applyProtection="1">
      <alignment horizontal="left"/>
    </xf>
    <xf numFmtId="0" fontId="11" fillId="5" borderId="8" xfId="0" applyNumberFormat="1" applyFont="1" applyFill="1" applyBorder="1" applyAlignment="1" applyProtection="1">
      <alignment horizontal="left" wrapText="1"/>
    </xf>
    <xf numFmtId="0" fontId="9" fillId="6" borderId="11" xfId="0" applyNumberFormat="1" applyFont="1" applyFill="1" applyBorder="1" applyAlignment="1" applyProtection="1">
      <alignment vertical="top" wrapText="1"/>
    </xf>
    <xf numFmtId="0" fontId="6" fillId="2" borderId="13" xfId="0" applyNumberFormat="1" applyFont="1" applyFill="1" applyBorder="1" applyAlignment="1" applyProtection="1">
      <alignment horizontal="left"/>
    </xf>
    <xf numFmtId="0" fontId="6" fillId="2" borderId="0" xfId="0" applyNumberFormat="1" applyFont="1" applyFill="1" applyAlignment="1" applyProtection="1">
      <alignment horizontal="left"/>
    </xf>
    <xf numFmtId="0" fontId="9" fillId="6" borderId="14" xfId="0" applyNumberFormat="1" applyFont="1" applyFill="1" applyBorder="1" applyAlignment="1" applyProtection="1">
      <alignment vertical="top" wrapText="1"/>
    </xf>
    <xf numFmtId="0" fontId="6" fillId="2" borderId="15" xfId="0" applyNumberFormat="1" applyFont="1" applyFill="1" applyBorder="1" applyAlignment="1" applyProtection="1">
      <alignment horizontal="left"/>
    </xf>
    <xf numFmtId="0" fontId="6" fillId="2" borderId="3" xfId="0" applyNumberFormat="1" applyFont="1" applyFill="1" applyBorder="1" applyAlignment="1" applyProtection="1">
      <alignment horizontal="left"/>
    </xf>
    <xf numFmtId="0" fontId="6" fillId="2" borderId="10" xfId="0" applyNumberFormat="1" applyFont="1" applyFill="1" applyBorder="1" applyAlignment="1" applyProtection="1">
      <alignment horizontal="left"/>
    </xf>
    <xf numFmtId="0" fontId="11" fillId="12" borderId="13" xfId="0" applyNumberFormat="1" applyFont="1" applyFill="1" applyBorder="1" applyAlignment="1" applyProtection="1"/>
    <xf numFmtId="0" fontId="5" fillId="3" borderId="15" xfId="0" applyNumberFormat="1" applyFont="1" applyFill="1" applyBorder="1" applyAlignment="1" applyProtection="1">
      <alignment horizontal="left"/>
    </xf>
    <xf numFmtId="0" fontId="5" fillId="3" borderId="3" xfId="0" applyNumberFormat="1" applyFont="1" applyFill="1" applyBorder="1" applyAlignment="1" applyProtection="1">
      <alignment horizontal="left"/>
    </xf>
    <xf numFmtId="0" fontId="5" fillId="3" borderId="10" xfId="0" applyNumberFormat="1" applyFont="1" applyFill="1" applyBorder="1" applyAlignment="1" applyProtection="1">
      <alignment horizontal="left"/>
    </xf>
    <xf numFmtId="37" fontId="11" fillId="3" borderId="6" xfId="0" applyNumberFormat="1" applyFont="1" applyFill="1" applyBorder="1" applyAlignment="1" applyProtection="1"/>
    <xf numFmtId="0" fontId="11" fillId="4" borderId="8" xfId="0" applyNumberFormat="1" applyFont="1" applyFill="1" applyBorder="1" applyAlignment="1" applyProtection="1">
      <alignment horizontal="left" indent="2"/>
    </xf>
    <xf numFmtId="0" fontId="11" fillId="0" borderId="9" xfId="0" applyNumberFormat="1" applyFont="1" applyFill="1" applyBorder="1" applyAlignment="1" applyProtection="1">
      <alignment horizontal="left" indent="2"/>
    </xf>
    <xf numFmtId="37" fontId="11" fillId="5" borderId="2" xfId="0" applyNumberFormat="1" applyFont="1" applyFill="1" applyBorder="1" applyAlignment="1" applyProtection="1"/>
    <xf numFmtId="0" fontId="9" fillId="0" borderId="0" xfId="0" applyNumberFormat="1" applyFont="1" applyFill="1" applyAlignment="1" applyProtection="1">
      <alignment horizontal="left" vertical="top" wrapText="1"/>
    </xf>
    <xf numFmtId="0" fontId="11" fillId="3" borderId="2" xfId="0" applyNumberFormat="1" applyFont="1" applyFill="1" applyBorder="1" applyAlignment="1" applyProtection="1">
      <alignment horizontal="right"/>
    </xf>
    <xf numFmtId="0" fontId="11" fillId="4" borderId="9" xfId="0" applyNumberFormat="1" applyFont="1" applyFill="1" applyBorder="1" applyAlignment="1" applyProtection="1">
      <alignment horizontal="left" indent="2"/>
    </xf>
    <xf numFmtId="0" fontId="11" fillId="4" borderId="2" xfId="0" applyNumberFormat="1" applyFont="1" applyFill="1" applyBorder="1" applyAlignment="1" applyProtection="1"/>
    <xf numFmtId="0" fontId="0" fillId="0" borderId="7" xfId="0" applyNumberFormat="1" applyFill="1" applyBorder="1" applyAlignment="1" applyProtection="1"/>
    <xf numFmtId="0" fontId="0" fillId="0" borderId="8" xfId="0" applyNumberFormat="1" applyFill="1" applyBorder="1" applyAlignment="1" applyProtection="1"/>
    <xf numFmtId="0" fontId="12" fillId="0" borderId="0" xfId="0" applyNumberFormat="1" applyFont="1" applyFill="1" applyAlignment="1" applyProtection="1">
      <alignment vertical="top" wrapText="1"/>
    </xf>
    <xf numFmtId="0" fontId="11" fillId="3" borderId="6" xfId="0" applyNumberFormat="1" applyFont="1" applyFill="1" applyBorder="1" applyAlignment="1" applyProtection="1"/>
    <xf numFmtId="0" fontId="4" fillId="0" borderId="0" xfId="0" applyNumberFormat="1" applyFont="1" applyFill="1" applyAlignment="1" applyProtection="1"/>
    <xf numFmtId="0" fontId="9" fillId="0" borderId="0" xfId="0" applyNumberFormat="1" applyFont="1" applyFill="1" applyAlignment="1" applyProtection="1">
      <alignment horizontal="center" vertical="top" wrapText="1"/>
    </xf>
    <xf numFmtId="0" fontId="9" fillId="6" borderId="1" xfId="0" applyNumberFormat="1" applyFont="1" applyFill="1" applyBorder="1" applyAlignment="1" applyProtection="1">
      <alignment horizontal="right"/>
    </xf>
    <xf numFmtId="0" fontId="9" fillId="6" borderId="3" xfId="0" applyNumberFormat="1" applyFont="1" applyFill="1" applyBorder="1" applyAlignment="1" applyProtection="1">
      <alignment horizontal="center"/>
    </xf>
    <xf numFmtId="0" fontId="23" fillId="6" borderId="3" xfId="0" applyNumberFormat="1" applyFont="1" applyFill="1" applyBorder="1" applyAlignment="1" applyProtection="1">
      <alignment horizontal="center"/>
    </xf>
    <xf numFmtId="0" fontId="9" fillId="6" borderId="10" xfId="0" applyNumberFormat="1" applyFont="1" applyFill="1" applyBorder="1" applyAlignment="1" applyProtection="1">
      <alignment horizontal="center"/>
    </xf>
    <xf numFmtId="0" fontId="28" fillId="6" borderId="4" xfId="0" applyNumberFormat="1" applyFont="1" applyFill="1" applyBorder="1" applyAlignment="1" applyProtection="1">
      <alignment horizontal="right" wrapText="1"/>
    </xf>
    <xf numFmtId="0" fontId="19" fillId="6" borderId="15" xfId="0" applyNumberFormat="1" applyFont="1" applyFill="1" applyBorder="1" applyAlignment="1" applyProtection="1">
      <alignment horizontal="right"/>
    </xf>
    <xf numFmtId="0" fontId="19" fillId="6" borderId="3" xfId="0" applyNumberFormat="1" applyFont="1" applyFill="1" applyBorder="1" applyAlignment="1" applyProtection="1"/>
    <xf numFmtId="0" fontId="19" fillId="6" borderId="10" xfId="0" applyNumberFormat="1" applyFont="1" applyFill="1" applyBorder="1" applyAlignment="1" applyProtection="1"/>
    <xf numFmtId="0" fontId="22" fillId="7" borderId="2" xfId="0" applyNumberFormat="1" applyFont="1" applyFill="1" applyBorder="1" applyAlignment="1" applyProtection="1"/>
    <xf numFmtId="0" fontId="11" fillId="9" borderId="2" xfId="0" applyNumberFormat="1" applyFont="1" applyFill="1" applyBorder="1" applyAlignment="1" applyProtection="1">
      <alignment horizontal="right"/>
    </xf>
    <xf numFmtId="0" fontId="11" fillId="8" borderId="2" xfId="0" applyNumberFormat="1" applyFont="1" applyFill="1" applyBorder="1" applyAlignment="1" applyProtection="1">
      <alignment horizontal="right"/>
    </xf>
    <xf numFmtId="0" fontId="11" fillId="5" borderId="7" xfId="0" applyNumberFormat="1" applyFont="1" applyFill="1" applyBorder="1" applyAlignment="1" applyProtection="1">
      <alignment horizontal="left" indent="1"/>
    </xf>
    <xf numFmtId="0" fontId="11" fillId="5" borderId="8" xfId="0" applyNumberFormat="1" applyFont="1" applyFill="1" applyBorder="1" applyAlignment="1" applyProtection="1">
      <alignment horizontal="left" indent="1"/>
    </xf>
    <xf numFmtId="0" fontId="11" fillId="5" borderId="9" xfId="0" applyNumberFormat="1" applyFont="1" applyFill="1" applyBorder="1" applyAlignment="1" applyProtection="1">
      <alignment horizontal="left" indent="1"/>
    </xf>
    <xf numFmtId="0" fontId="11" fillId="4" borderId="7" xfId="0" applyNumberFormat="1" applyFont="1" applyFill="1" applyBorder="1" applyAlignment="1" applyProtection="1">
      <alignment horizontal="left" indent="2"/>
    </xf>
    <xf numFmtId="0" fontId="22" fillId="0" borderId="2" xfId="0" applyNumberFormat="1" applyFont="1" applyFill="1" applyBorder="1" applyAlignment="1" applyProtection="1"/>
    <xf numFmtId="0" fontId="11" fillId="9" borderId="0" xfId="0" applyNumberFormat="1" applyFont="1" applyFill="1" applyAlignment="1" applyProtection="1">
      <alignment horizontal="left"/>
    </xf>
    <xf numFmtId="0" fontId="11" fillId="9" borderId="0" xfId="0" applyNumberFormat="1" applyFont="1" applyFill="1" applyAlignment="1" applyProtection="1">
      <alignment horizontal="left" indent="1"/>
    </xf>
    <xf numFmtId="0" fontId="11" fillId="9" borderId="7" xfId="0" applyNumberFormat="1" applyFont="1" applyFill="1" applyBorder="1" applyAlignment="1" applyProtection="1">
      <alignment horizontal="left" indent="2"/>
    </xf>
    <xf numFmtId="0" fontId="11" fillId="9" borderId="8" xfId="0" applyNumberFormat="1" applyFont="1" applyFill="1" applyBorder="1" applyAlignment="1" applyProtection="1">
      <alignment horizontal="left" indent="2"/>
    </xf>
    <xf numFmtId="0" fontId="11" fillId="9" borderId="9" xfId="0" applyNumberFormat="1" applyFont="1" applyFill="1" applyBorder="1" applyAlignment="1" applyProtection="1">
      <alignment horizontal="left" indent="2"/>
    </xf>
    <xf numFmtId="0" fontId="22" fillId="0" borderId="0" xfId="0" applyNumberFormat="1" applyFont="1" applyFill="1" applyAlignment="1" applyProtection="1"/>
    <xf numFmtId="0" fontId="6" fillId="2" borderId="13" xfId="0" applyNumberFormat="1" applyFont="1" applyFill="1" applyBorder="1" applyAlignment="1" applyProtection="1">
      <alignment horizontal="right"/>
    </xf>
    <xf numFmtId="0" fontId="6" fillId="2" borderId="0" xfId="0" applyNumberFormat="1" applyFont="1" applyFill="1" applyAlignment="1" applyProtection="1"/>
    <xf numFmtId="0" fontId="6" fillId="2" borderId="3" xfId="0" applyNumberFormat="1" applyFont="1" applyFill="1" applyBorder="1" applyAlignment="1" applyProtection="1">
      <alignment horizontal="center"/>
    </xf>
    <xf numFmtId="0" fontId="6" fillId="2" borderId="10" xfId="0" applyNumberFormat="1" applyFont="1" applyFill="1" applyBorder="1" applyAlignment="1" applyProtection="1">
      <alignment horizontal="center"/>
    </xf>
    <xf numFmtId="0" fontId="6" fillId="2" borderId="14" xfId="0" applyNumberFormat="1" applyFont="1" applyFill="1" applyBorder="1" applyAlignment="1" applyProtection="1"/>
    <xf numFmtId="0" fontId="3" fillId="2" borderId="4" xfId="0" applyNumberFormat="1" applyFont="1" applyFill="1" applyBorder="1" applyAlignment="1" applyProtection="1">
      <alignment horizontal="right" wrapText="1"/>
    </xf>
    <xf numFmtId="0" fontId="28" fillId="2" borderId="4" xfId="0" applyNumberFormat="1" applyFont="1" applyFill="1" applyBorder="1" applyAlignment="1" applyProtection="1">
      <alignment horizontal="right" wrapText="1"/>
    </xf>
    <xf numFmtId="0" fontId="6" fillId="2" borderId="3" xfId="0" applyNumberFormat="1" applyFont="1" applyFill="1" applyBorder="1" applyAlignment="1" applyProtection="1"/>
    <xf numFmtId="0" fontId="6" fillId="2" borderId="10" xfId="0" applyNumberFormat="1" applyFont="1" applyFill="1" applyBorder="1" applyAlignment="1" applyProtection="1"/>
    <xf numFmtId="0" fontId="6" fillId="2" borderId="6" xfId="0" applyNumberFormat="1" applyFont="1" applyFill="1" applyBorder="1" applyAlignment="1" applyProtection="1">
      <alignment horizontal="right" wrapText="1"/>
    </xf>
    <xf numFmtId="0" fontId="9" fillId="2" borderId="6" xfId="0" applyNumberFormat="1" applyFont="1" applyFill="1" applyBorder="1" applyAlignment="1" applyProtection="1">
      <alignment horizontal="right" wrapText="1"/>
    </xf>
    <xf numFmtId="0" fontId="11" fillId="3" borderId="2" xfId="0" applyNumberFormat="1" applyFont="1" applyFill="1" applyBorder="1" applyAlignment="1" applyProtection="1"/>
    <xf numFmtId="37" fontId="11" fillId="3" borderId="2" xfId="0" applyNumberFormat="1" applyFont="1" applyFill="1" applyBorder="1" applyAlignment="1" applyProtection="1"/>
    <xf numFmtId="37" fontId="8" fillId="3" borderId="2" xfId="0" applyNumberFormat="1" applyFont="1" applyFill="1" applyBorder="1" applyAlignment="1" applyProtection="1"/>
    <xf numFmtId="0" fontId="11" fillId="0" borderId="0" xfId="0" applyNumberFormat="1" applyFont="1" applyFill="1" applyAlignment="1" applyProtection="1">
      <alignment horizontal="left" wrapText="1"/>
    </xf>
    <xf numFmtId="0" fontId="10" fillId="0" borderId="2" xfId="0" applyNumberFormat="1" applyFont="1" applyFill="1" applyBorder="1" applyAlignment="1" applyProtection="1">
      <alignment horizontal="center" vertical="center"/>
    </xf>
    <xf numFmtId="0" fontId="10" fillId="0" borderId="0" xfId="0" applyNumberFormat="1" applyFont="1" applyFill="1" applyAlignment="1" applyProtection="1">
      <alignment horizontal="left"/>
    </xf>
    <xf numFmtId="0" fontId="10" fillId="0" borderId="0" xfId="0" applyNumberFormat="1" applyFont="1" applyFill="1" applyAlignment="1" applyProtection="1">
      <alignment horizontal="center" wrapText="1"/>
    </xf>
    <xf numFmtId="0" fontId="11" fillId="0" borderId="2" xfId="0" applyNumberFormat="1" applyFont="1" applyFill="1" applyBorder="1" applyAlignment="1" applyProtection="1">
      <alignment horizontal="left" wrapText="1"/>
      <protection locked="0"/>
    </xf>
    <xf numFmtId="0" fontId="11" fillId="0" borderId="7" xfId="0" applyNumberFormat="1" applyFont="1" applyFill="1" applyBorder="1" applyAlignment="1" applyProtection="1">
      <alignment horizontal="left" wrapText="1"/>
      <protection locked="0"/>
    </xf>
    <xf numFmtId="0" fontId="11" fillId="0" borderId="12" xfId="0" applyNumberFormat="1" applyFont="1" applyFill="1" applyBorder="1" applyAlignment="1" applyProtection="1">
      <alignment horizontal="left" wrapText="1"/>
    </xf>
    <xf numFmtId="0" fontId="11" fillId="0" borderId="3" xfId="0" applyNumberFormat="1" applyFont="1" applyFill="1" applyBorder="1" applyAlignment="1" applyProtection="1">
      <alignment horizontal="left" wrapText="1"/>
    </xf>
    <xf numFmtId="37" fontId="11" fillId="8" borderId="7" xfId="0" applyNumberFormat="1" applyFont="1" applyFill="1" applyBorder="1" applyAlignment="1" applyProtection="1"/>
    <xf numFmtId="0" fontId="7" fillId="10" borderId="7" xfId="0" applyNumberFormat="1" applyFont="1" applyFill="1" applyBorder="1" applyAlignment="1" applyProtection="1"/>
    <xf numFmtId="0" fontId="9" fillId="6" borderId="1" xfId="0" applyNumberFormat="1" applyFont="1" applyFill="1" applyBorder="1" applyAlignment="1" applyProtection="1">
      <alignment vertical="top"/>
    </xf>
    <xf numFmtId="0" fontId="9" fillId="6" borderId="12" xfId="0" applyNumberFormat="1" applyFont="1" applyFill="1" applyBorder="1" applyAlignment="1" applyProtection="1">
      <alignment vertical="center" wrapText="1"/>
    </xf>
    <xf numFmtId="0" fontId="43" fillId="6" borderId="12" xfId="0" applyNumberFormat="1" applyFont="1" applyFill="1" applyBorder="1" applyAlignment="1" applyProtection="1"/>
    <xf numFmtId="0" fontId="43" fillId="6" borderId="11" xfId="0" applyNumberFormat="1" applyFont="1" applyFill="1" applyBorder="1" applyAlignment="1" applyProtection="1"/>
    <xf numFmtId="0" fontId="9" fillId="6" borderId="3" xfId="0" applyNumberFormat="1" applyFont="1" applyFill="1" applyBorder="1" applyAlignment="1" applyProtection="1">
      <alignment vertical="center" wrapText="1"/>
    </xf>
    <xf numFmtId="0" fontId="43" fillId="6" borderId="0" xfId="0" applyNumberFormat="1" applyFont="1" applyFill="1" applyAlignment="1" applyProtection="1"/>
    <xf numFmtId="0" fontId="43" fillId="6" borderId="3" xfId="0" applyNumberFormat="1" applyFont="1" applyFill="1" applyBorder="1" applyAlignment="1" applyProtection="1"/>
    <xf numFmtId="0" fontId="43" fillId="6" borderId="10" xfId="0" applyNumberFormat="1" applyFont="1" applyFill="1" applyBorder="1" applyAlignment="1" applyProtection="1"/>
    <xf numFmtId="0" fontId="28" fillId="6" borderId="13" xfId="0" applyNumberFormat="1" applyFont="1" applyFill="1" applyBorder="1" applyAlignment="1" applyProtection="1"/>
    <xf numFmtId="0" fontId="28" fillId="6" borderId="0" xfId="0" applyNumberFormat="1" applyFont="1" applyFill="1" applyAlignment="1" applyProtection="1">
      <alignment vertical="center" wrapText="1"/>
    </xf>
    <xf numFmtId="0" fontId="28" fillId="6" borderId="14" xfId="0" applyNumberFormat="1" applyFont="1" applyFill="1" applyBorder="1" applyAlignment="1" applyProtection="1"/>
    <xf numFmtId="0" fontId="0" fillId="6" borderId="0" xfId="0" applyNumberFormat="1" applyFill="1" applyAlignment="1" applyProtection="1"/>
    <xf numFmtId="0" fontId="28" fillId="6" borderId="14" xfId="0" applyNumberFormat="1" applyFont="1" applyFill="1" applyBorder="1" applyAlignment="1" applyProtection="1">
      <alignment horizontal="right"/>
    </xf>
    <xf numFmtId="0" fontId="9" fillId="6" borderId="7" xfId="0" applyNumberFormat="1" applyFont="1" applyFill="1" applyBorder="1" applyAlignment="1" applyProtection="1">
      <alignment horizontal="right" vertical="center" wrapText="1"/>
    </xf>
    <xf numFmtId="0" fontId="9" fillId="6" borderId="2" xfId="0" applyNumberFormat="1" applyFont="1" applyFill="1" applyBorder="1" applyAlignment="1" applyProtection="1">
      <alignment horizontal="right" vertical="center" wrapText="1"/>
    </xf>
    <xf numFmtId="0" fontId="28" fillId="6" borderId="0" xfId="0" applyNumberFormat="1" applyFont="1" applyFill="1" applyAlignment="1" applyProtection="1"/>
    <xf numFmtId="168" fontId="11" fillId="15" borderId="2" xfId="0" applyNumberFormat="1" applyFont="1" applyFill="1" applyBorder="1" applyAlignment="1" applyProtection="1">
      <protection locked="0"/>
    </xf>
    <xf numFmtId="0" fontId="11" fillId="3" borderId="7" xfId="0" applyNumberFormat="1" applyFont="1" applyFill="1" applyBorder="1" applyAlignment="1" applyProtection="1">
      <alignment horizontal="left" indent="1"/>
    </xf>
    <xf numFmtId="0" fontId="11" fillId="3" borderId="8" xfId="0" applyNumberFormat="1" applyFont="1" applyFill="1" applyBorder="1" applyAlignment="1" applyProtection="1">
      <alignment horizontal="left"/>
    </xf>
    <xf numFmtId="0" fontId="0" fillId="7" borderId="0" xfId="0" applyNumberFormat="1" applyFill="1" applyAlignment="1" applyProtection="1"/>
    <xf numFmtId="0" fontId="11" fillId="7" borderId="12" xfId="0" applyNumberFormat="1" applyFont="1" applyFill="1" applyBorder="1" applyAlignment="1" applyProtection="1"/>
    <xf numFmtId="0" fontId="11" fillId="7" borderId="8" xfId="0" applyNumberFormat="1" applyFont="1" applyFill="1" applyBorder="1" applyAlignment="1" applyProtection="1">
      <alignment horizontal="left" indent="1"/>
    </xf>
    <xf numFmtId="0" fontId="11" fillId="7" borderId="9" xfId="0" applyNumberFormat="1" applyFont="1" applyFill="1" applyBorder="1" applyAlignment="1" applyProtection="1">
      <alignment horizontal="left" indent="1"/>
    </xf>
    <xf numFmtId="37" fontId="8" fillId="7" borderId="2" xfId="0" applyNumberFormat="1" applyFont="1" applyFill="1" applyBorder="1" applyAlignment="1" applyProtection="1">
      <alignment horizontal="right"/>
    </xf>
    <xf numFmtId="0" fontId="11" fillId="10" borderId="11" xfId="0" applyNumberFormat="1" applyFont="1" applyFill="1" applyBorder="1" applyAlignment="1" applyProtection="1"/>
    <xf numFmtId="0" fontId="10" fillId="10" borderId="10" xfId="0" applyNumberFormat="1" applyFont="1" applyFill="1" applyBorder="1" applyAlignment="1" applyProtection="1"/>
    <xf numFmtId="37" fontId="11" fillId="7" borderId="2" xfId="0" applyNumberFormat="1" applyFont="1" applyFill="1" applyBorder="1" applyAlignment="1" applyProtection="1">
      <alignment horizontal="right"/>
      <protection hidden="1"/>
    </xf>
    <xf numFmtId="0" fontId="11" fillId="10" borderId="14" xfId="0" applyNumberFormat="1" applyFont="1" applyFill="1" applyBorder="1" applyAlignment="1" applyProtection="1"/>
    <xf numFmtId="0" fontId="33" fillId="0" borderId="0" xfId="0" applyNumberFormat="1" applyFont="1" applyFill="1" applyAlignment="1" applyProtection="1"/>
    <xf numFmtId="0" fontId="10" fillId="10" borderId="3" xfId="0" applyNumberFormat="1" applyFont="1" applyFill="1" applyBorder="1" applyAlignment="1" applyProtection="1"/>
    <xf numFmtId="37" fontId="11" fillId="10" borderId="2" xfId="0" applyNumberFormat="1" applyFont="1" applyFill="1" applyBorder="1" applyAlignment="1" applyProtection="1">
      <alignment horizontal="left" wrapText="1"/>
      <protection locked="0"/>
    </xf>
    <xf numFmtId="0" fontId="0" fillId="8" borderId="8" xfId="0" applyNumberFormat="1" applyFill="1" applyBorder="1" applyAlignment="1" applyProtection="1"/>
    <xf numFmtId="0" fontId="45" fillId="0" borderId="0" xfId="0" applyNumberFormat="1" applyFont="1" applyFill="1" applyAlignment="1" applyProtection="1"/>
    <xf numFmtId="0" fontId="11" fillId="8" borderId="7" xfId="0" applyNumberFormat="1" applyFont="1" applyFill="1" applyBorder="1" applyAlignment="1" applyProtection="1">
      <alignment horizontal="right"/>
    </xf>
    <xf numFmtId="0" fontId="11" fillId="10" borderId="8" xfId="0" applyNumberFormat="1" applyFont="1" applyFill="1" applyBorder="1" applyAlignment="1" applyProtection="1">
      <alignment horizontal="right"/>
    </xf>
    <xf numFmtId="0" fontId="0" fillId="10" borderId="8" xfId="0" applyNumberFormat="1" applyFill="1" applyBorder="1" applyAlignment="1" applyProtection="1"/>
    <xf numFmtId="37" fontId="11" fillId="10" borderId="8" xfId="0" applyNumberFormat="1" applyFont="1" applyFill="1" applyBorder="1" applyAlignment="1" applyProtection="1">
      <alignment horizontal="right"/>
    </xf>
    <xf numFmtId="37" fontId="11" fillId="10" borderId="9" xfId="0" applyNumberFormat="1" applyFont="1" applyFill="1" applyBorder="1" applyAlignment="1" applyProtection="1">
      <alignment horizontal="right"/>
    </xf>
    <xf numFmtId="0" fontId="41" fillId="0" borderId="0" xfId="0" applyNumberFormat="1" applyFont="1" applyFill="1" applyAlignment="1" applyProtection="1"/>
    <xf numFmtId="0" fontId="0" fillId="15" borderId="2" xfId="0" applyNumberFormat="1" applyFill="1" applyBorder="1" applyAlignment="1" applyProtection="1"/>
    <xf numFmtId="0" fontId="11" fillId="12" borderId="7" xfId="0" applyNumberFormat="1" applyFont="1" applyFill="1" applyBorder="1" applyAlignment="1" applyProtection="1">
      <alignment horizontal="right"/>
    </xf>
    <xf numFmtId="0" fontId="11" fillId="12" borderId="2" xfId="0" applyNumberFormat="1" applyFont="1" applyFill="1" applyBorder="1" applyAlignment="1" applyProtection="1">
      <alignment horizontal="right" vertical="top"/>
    </xf>
    <xf numFmtId="0" fontId="11" fillId="4" borderId="7" xfId="0" applyNumberFormat="1" applyFont="1" applyFill="1" applyBorder="1" applyAlignment="1" applyProtection="1">
      <alignment horizontal="left" vertical="center"/>
    </xf>
    <xf numFmtId="0" fontId="11" fillId="4" borderId="8" xfId="0" applyNumberFormat="1" applyFont="1" applyFill="1" applyBorder="1" applyAlignment="1" applyProtection="1">
      <alignment horizontal="left" vertical="center"/>
    </xf>
    <xf numFmtId="0" fontId="11" fillId="0" borderId="12" xfId="0" applyNumberFormat="1" applyFont="1" applyFill="1" applyBorder="1" applyAlignment="1" applyProtection="1">
      <alignment horizontal="left" indent="2"/>
    </xf>
    <xf numFmtId="0" fontId="11" fillId="0" borderId="12" xfId="0" applyNumberFormat="1" applyFont="1" applyFill="1" applyBorder="1" applyAlignment="1" applyProtection="1">
      <alignment horizontal="left"/>
    </xf>
    <xf numFmtId="0" fontId="11" fillId="0" borderId="3" xfId="0" applyNumberFormat="1" applyFont="1" applyFill="1" applyBorder="1" applyAlignment="1" applyProtection="1"/>
    <xf numFmtId="37" fontId="11" fillId="0" borderId="3" xfId="0" applyNumberFormat="1" applyFont="1" applyFill="1" applyBorder="1" applyAlignment="1" applyProtection="1">
      <alignment horizontal="right"/>
    </xf>
    <xf numFmtId="37" fontId="11" fillId="0" borderId="0" xfId="0" applyNumberFormat="1" applyFont="1" applyFill="1" applyAlignment="1" applyProtection="1">
      <alignment horizontal="right"/>
    </xf>
    <xf numFmtId="0" fontId="10" fillId="7" borderId="7" xfId="0" applyNumberFormat="1" applyFont="1" applyFill="1" applyBorder="1" applyAlignment="1" applyProtection="1">
      <alignment vertical="center"/>
    </xf>
    <xf numFmtId="0" fontId="10" fillId="7" borderId="8" xfId="0" applyNumberFormat="1" applyFont="1" applyFill="1" applyBorder="1" applyAlignment="1" applyProtection="1">
      <alignment vertical="center"/>
    </xf>
    <xf numFmtId="0" fontId="11" fillId="7" borderId="8" xfId="0" applyNumberFormat="1" applyFont="1" applyFill="1" applyBorder="1" applyAlignment="1" applyProtection="1">
      <alignment vertical="center"/>
    </xf>
    <xf numFmtId="0" fontId="11" fillId="7" borderId="12" xfId="0" applyNumberFormat="1" applyFont="1" applyFill="1" applyBorder="1" applyAlignment="1" applyProtection="1">
      <alignment vertical="center"/>
    </xf>
    <xf numFmtId="167" fontId="8" fillId="10" borderId="2" xfId="0" applyNumberFormat="1" applyFont="1" applyFill="1" applyBorder="1" applyAlignment="1" applyProtection="1">
      <alignment horizontal="right"/>
      <protection locked="0"/>
    </xf>
    <xf numFmtId="0" fontId="9" fillId="6" borderId="1" xfId="0" applyNumberFormat="1" applyFont="1" applyFill="1" applyBorder="1" applyAlignment="1" applyProtection="1">
      <alignment vertical="center"/>
    </xf>
    <xf numFmtId="0" fontId="9" fillId="6" borderId="12" xfId="0" applyNumberFormat="1" applyFont="1" applyFill="1" applyBorder="1" applyAlignment="1" applyProtection="1">
      <alignment vertical="center"/>
    </xf>
    <xf numFmtId="0" fontId="9" fillId="6" borderId="11" xfId="0" applyNumberFormat="1" applyFont="1" applyFill="1" applyBorder="1" applyAlignment="1" applyProtection="1">
      <alignment vertical="center" wrapText="1"/>
    </xf>
    <xf numFmtId="0" fontId="9" fillId="6" borderId="13" xfId="0" applyNumberFormat="1" applyFont="1" applyFill="1" applyBorder="1" applyAlignment="1" applyProtection="1">
      <alignment vertical="top" wrapText="1"/>
    </xf>
    <xf numFmtId="0" fontId="9" fillId="6" borderId="10" xfId="0" applyNumberFormat="1" applyFont="1" applyFill="1" applyBorder="1" applyAlignment="1" applyProtection="1">
      <alignment vertical="center" wrapText="1"/>
    </xf>
    <xf numFmtId="0" fontId="16" fillId="6" borderId="13" xfId="0" applyNumberFormat="1" applyFont="1" applyFill="1" applyBorder="1" applyAlignment="1" applyProtection="1"/>
    <xf numFmtId="0" fontId="9" fillId="6" borderId="15" xfId="0" applyNumberFormat="1" applyFont="1" applyFill="1" applyBorder="1" applyAlignment="1" applyProtection="1">
      <alignment horizontal="right" wrapText="1"/>
    </xf>
    <xf numFmtId="0" fontId="16" fillId="6" borderId="15" xfId="0" applyNumberFormat="1" applyFont="1" applyFill="1" applyBorder="1" applyAlignment="1" applyProtection="1"/>
    <xf numFmtId="0" fontId="10" fillId="10" borderId="0" xfId="0" applyNumberFormat="1" applyFont="1" applyFill="1" applyAlignment="1" applyProtection="1"/>
    <xf numFmtId="0" fontId="11" fillId="10" borderId="0" xfId="0" applyNumberFormat="1" applyFont="1" applyFill="1" applyAlignment="1" applyProtection="1">
      <alignment horizontal="right"/>
    </xf>
    <xf numFmtId="0" fontId="10" fillId="3" borderId="7" xfId="0" applyNumberFormat="1" applyFont="1" applyFill="1" applyBorder="1" applyAlignment="1" applyProtection="1">
      <alignment horizontal="right"/>
    </xf>
    <xf numFmtId="0" fontId="10" fillId="3" borderId="2" xfId="0" applyNumberFormat="1" applyFont="1" applyFill="1" applyBorder="1" applyAlignment="1" applyProtection="1">
      <alignment horizontal="right"/>
    </xf>
    <xf numFmtId="2" fontId="8" fillId="10" borderId="2" xfId="0" applyNumberFormat="1" applyFont="1" applyFill="1" applyBorder="1" applyAlignment="1" applyProtection="1">
      <alignment horizontal="right"/>
      <protection locked="0"/>
    </xf>
    <xf numFmtId="0" fontId="0" fillId="10" borderId="3" xfId="0" applyNumberFormat="1" applyFill="1" applyBorder="1" applyAlignment="1" applyProtection="1"/>
    <xf numFmtId="0" fontId="0" fillId="10" borderId="0" xfId="0" applyNumberFormat="1" applyFill="1" applyAlignment="1" applyProtection="1"/>
    <xf numFmtId="0" fontId="11" fillId="7" borderId="8" xfId="0" applyNumberFormat="1" applyFont="1" applyFill="1" applyBorder="1" applyAlignment="1" applyProtection="1">
      <alignment horizontal="left"/>
    </xf>
    <xf numFmtId="0" fontId="10" fillId="7" borderId="2" xfId="0" applyNumberFormat="1" applyFont="1" applyFill="1" applyBorder="1" applyAlignment="1" applyProtection="1">
      <alignment horizontal="right" wrapText="1"/>
    </xf>
    <xf numFmtId="0" fontId="45" fillId="8" borderId="7" xfId="0" applyNumberFormat="1" applyFont="1" applyFill="1" applyBorder="1" applyAlignment="1" applyProtection="1"/>
    <xf numFmtId="2" fontId="11" fillId="8" borderId="2" xfId="0" applyNumberFormat="1" applyFont="1" applyFill="1" applyBorder="1" applyAlignment="1" applyProtection="1">
      <alignment horizontal="right"/>
    </xf>
    <xf numFmtId="0" fontId="45" fillId="10" borderId="3" xfId="0" applyNumberFormat="1" applyFont="1" applyFill="1" applyBorder="1" applyAlignment="1" applyProtection="1"/>
    <xf numFmtId="0" fontId="45" fillId="10" borderId="0" xfId="0" applyNumberFormat="1" applyFont="1" applyFill="1" applyAlignment="1" applyProtection="1"/>
    <xf numFmtId="0" fontId="45" fillId="0" borderId="8" xfId="0" applyNumberFormat="1" applyFont="1" applyFill="1" applyBorder="1" applyAlignment="1" applyProtection="1"/>
    <xf numFmtId="0" fontId="45" fillId="0" borderId="14" xfId="0" applyNumberFormat="1" applyFont="1" applyFill="1" applyBorder="1" applyAlignment="1" applyProtection="1"/>
    <xf numFmtId="0" fontId="45" fillId="10" borderId="1" xfId="0" applyNumberFormat="1" applyFont="1" applyFill="1" applyBorder="1" applyAlignment="1" applyProtection="1">
      <alignment horizontal="center"/>
    </xf>
    <xf numFmtId="0" fontId="11" fillId="10" borderId="12" xfId="0" applyNumberFormat="1" applyFont="1" applyFill="1" applyBorder="1" applyAlignment="1" applyProtection="1">
      <alignment horizontal="left" indent="1"/>
    </xf>
    <xf numFmtId="0" fontId="45" fillId="10" borderId="7" xfId="0" applyNumberFormat="1" applyFont="1" applyFill="1" applyBorder="1" applyAlignment="1" applyProtection="1"/>
    <xf numFmtId="0" fontId="45" fillId="10" borderId="8" xfId="0" applyNumberFormat="1" applyFont="1" applyFill="1" applyBorder="1" applyAlignment="1" applyProtection="1"/>
    <xf numFmtId="0" fontId="8" fillId="0" borderId="2" xfId="0" applyNumberFormat="1" applyFont="1" applyFill="1" applyBorder="1" applyAlignment="1" applyProtection="1">
      <protection locked="0"/>
    </xf>
    <xf numFmtId="2" fontId="8" fillId="0" borderId="2" xfId="0" applyNumberFormat="1" applyFont="1" applyFill="1" applyBorder="1" applyAlignment="1" applyProtection="1">
      <protection locked="0"/>
    </xf>
    <xf numFmtId="0" fontId="11" fillId="0" borderId="10" xfId="0" applyNumberFormat="1" applyFont="1" applyFill="1" applyBorder="1" applyAlignment="1" applyProtection="1"/>
    <xf numFmtId="1" fontId="8" fillId="10" borderId="2" xfId="0" applyNumberFormat="1" applyFont="1" applyFill="1" applyBorder="1" applyAlignment="1" applyProtection="1">
      <alignment horizontal="right"/>
    </xf>
    <xf numFmtId="0" fontId="10" fillId="7" borderId="15" xfId="0" applyNumberFormat="1" applyFont="1" applyFill="1" applyBorder="1" applyAlignment="1" applyProtection="1"/>
    <xf numFmtId="37" fontId="40" fillId="10" borderId="2" xfId="0" applyNumberFormat="1" applyFont="1" applyFill="1" applyBorder="1" applyAlignment="1" applyProtection="1">
      <alignment horizontal="right"/>
    </xf>
    <xf numFmtId="0" fontId="31" fillId="6" borderId="13" xfId="0" applyNumberFormat="1" applyFont="1" applyFill="1" applyBorder="1" applyAlignment="1" applyProtection="1"/>
    <xf numFmtId="0" fontId="31" fillId="6" borderId="0" xfId="0" applyNumberFormat="1" applyFont="1" applyFill="1" applyAlignment="1" applyProtection="1"/>
    <xf numFmtId="0" fontId="31" fillId="6" borderId="25" xfId="0" applyNumberFormat="1" applyFont="1" applyFill="1" applyBorder="1" applyAlignment="1" applyProtection="1"/>
    <xf numFmtId="0" fontId="31" fillId="6" borderId="21" xfId="0" applyNumberFormat="1" applyFont="1" applyFill="1" applyBorder="1" applyAlignment="1" applyProtection="1"/>
    <xf numFmtId="0" fontId="31" fillId="6" borderId="24" xfId="0" applyNumberFormat="1" applyFont="1" applyFill="1" applyBorder="1" applyAlignment="1" applyProtection="1">
      <alignment horizontal="right"/>
    </xf>
    <xf numFmtId="0" fontId="10" fillId="7" borderId="16" xfId="0" applyNumberFormat="1" applyFont="1" applyFill="1" applyBorder="1" applyAlignment="1" applyProtection="1"/>
    <xf numFmtId="0" fontId="11" fillId="7" borderId="22" xfId="0" applyNumberFormat="1" applyFont="1" applyFill="1" applyBorder="1" applyAlignment="1" applyProtection="1">
      <alignment horizontal="left"/>
    </xf>
    <xf numFmtId="0" fontId="10" fillId="7" borderId="22" xfId="0" applyNumberFormat="1" applyFont="1" applyFill="1" applyBorder="1" applyAlignment="1" applyProtection="1"/>
    <xf numFmtId="0" fontId="10" fillId="7" borderId="17" xfId="0" applyNumberFormat="1" applyFont="1" applyFill="1" applyBorder="1" applyAlignment="1" applyProtection="1"/>
    <xf numFmtId="0" fontId="10" fillId="7" borderId="23" xfId="0" applyNumberFormat="1" applyFont="1" applyFill="1" applyBorder="1" applyAlignment="1" applyProtection="1"/>
    <xf numFmtId="0" fontId="10" fillId="0" borderId="18" xfId="0" applyNumberFormat="1" applyFont="1" applyFill="1" applyBorder="1" applyAlignment="1" applyProtection="1">
      <alignment vertical="center" wrapText="1"/>
    </xf>
    <xf numFmtId="0" fontId="10" fillId="0" borderId="2"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wrapText="1"/>
    </xf>
    <xf numFmtId="0" fontId="10" fillId="0" borderId="19" xfId="0" applyNumberFormat="1" applyFont="1" applyFill="1" applyBorder="1" applyAlignment="1" applyProtection="1">
      <alignment horizontal="center" vertical="center"/>
    </xf>
    <xf numFmtId="0" fontId="11" fillId="11" borderId="20" xfId="0" applyNumberFormat="1" applyFont="1" applyFill="1" applyBorder="1" applyAlignment="1" applyProtection="1">
      <alignment horizontal="center"/>
    </xf>
    <xf numFmtId="0" fontId="33" fillId="0" borderId="2" xfId="0" applyNumberFormat="1" applyFont="1" applyFill="1" applyBorder="1" applyAlignment="1" applyProtection="1">
      <alignment horizontal="left" wrapText="1"/>
    </xf>
    <xf numFmtId="0" fontId="33" fillId="0" borderId="2" xfId="0" applyNumberFormat="1" applyFont="1" applyFill="1" applyBorder="1" applyAlignment="1" applyProtection="1">
      <alignment horizontal="center"/>
    </xf>
    <xf numFmtId="1" fontId="33" fillId="0" borderId="6" xfId="0" applyNumberFormat="1" applyFont="1" applyFill="1" applyBorder="1" applyAlignment="1" applyProtection="1">
      <alignment horizontal="center"/>
    </xf>
    <xf numFmtId="1" fontId="33" fillId="0" borderId="6" xfId="0" applyNumberFormat="1" applyFont="1" applyFill="1" applyBorder="1" applyAlignment="1" applyProtection="1"/>
    <xf numFmtId="1" fontId="33" fillId="0" borderId="19" xfId="0" applyNumberFormat="1" applyFont="1" applyFill="1" applyBorder="1" applyAlignment="1" applyProtection="1"/>
    <xf numFmtId="0" fontId="11" fillId="11" borderId="18" xfId="0" applyNumberFormat="1" applyFont="1" applyFill="1" applyBorder="1" applyAlignment="1" applyProtection="1">
      <alignment horizontal="center"/>
    </xf>
    <xf numFmtId="0" fontId="33" fillId="0" borderId="2" xfId="0" applyNumberFormat="1" applyFont="1" applyFill="1" applyBorder="1" applyAlignment="1" applyProtection="1">
      <alignment vertical="top" wrapText="1"/>
    </xf>
    <xf numFmtId="1" fontId="33" fillId="0" borderId="2" xfId="0" applyNumberFormat="1" applyFont="1" applyFill="1" applyBorder="1" applyAlignment="1" applyProtection="1">
      <alignment horizontal="center"/>
    </xf>
    <xf numFmtId="1" fontId="33" fillId="0" borderId="2" xfId="0" applyNumberFormat="1" applyFont="1" applyFill="1" applyBorder="1" applyAlignment="1" applyProtection="1"/>
    <xf numFmtId="0" fontId="33" fillId="0" borderId="7" xfId="0" applyNumberFormat="1" applyFont="1" applyFill="1" applyBorder="1" applyAlignment="1" applyProtection="1"/>
    <xf numFmtId="0" fontId="33" fillId="0" borderId="7" xfId="0" applyNumberFormat="1" applyFont="1" applyFill="1" applyBorder="1" applyAlignment="1" applyProtection="1">
      <alignment horizontal="center" wrapText="1"/>
    </xf>
    <xf numFmtId="1" fontId="33" fillId="0" borderId="7" xfId="0" applyNumberFormat="1" applyFont="1" applyFill="1" applyBorder="1" applyAlignment="1" applyProtection="1">
      <alignment horizontal="center" wrapText="1"/>
    </xf>
    <xf numFmtId="1" fontId="33" fillId="0" borderId="7" xfId="0" applyNumberFormat="1" applyFont="1" applyFill="1" applyBorder="1" applyAlignment="1" applyProtection="1">
      <alignment wrapText="1"/>
    </xf>
    <xf numFmtId="0" fontId="33" fillId="0" borderId="2" xfId="0" applyNumberFormat="1" applyFont="1" applyFill="1" applyBorder="1" applyAlignment="1" applyProtection="1"/>
    <xf numFmtId="0" fontId="33" fillId="0" borderId="8" xfId="0" applyNumberFormat="1" applyFont="1" applyFill="1" applyBorder="1" applyAlignment="1" applyProtection="1">
      <alignment wrapText="1"/>
    </xf>
    <xf numFmtId="164" fontId="33" fillId="0" borderId="19" xfId="0" applyNumberFormat="1" applyFont="1" applyFill="1" applyBorder="1" applyAlignment="1" applyProtection="1"/>
    <xf numFmtId="0" fontId="11" fillId="0" borderId="17" xfId="0" applyNumberFormat="1" applyFont="1" applyFill="1" applyBorder="1" applyAlignment="1" applyProtection="1">
      <alignment vertical="top" wrapText="1"/>
    </xf>
    <xf numFmtId="0" fontId="33" fillId="0" borderId="17" xfId="0" applyNumberFormat="1" applyFont="1" applyFill="1" applyBorder="1" applyAlignment="1" applyProtection="1">
      <alignment vertical="top" wrapText="1"/>
    </xf>
    <xf numFmtId="0" fontId="11" fillId="0" borderId="0" xfId="0" applyNumberFormat="1" applyFont="1" applyFill="1" applyAlignment="1" applyProtection="1">
      <alignment vertical="top" wrapText="1"/>
    </xf>
    <xf numFmtId="0" fontId="33" fillId="0" borderId="0" xfId="0" applyNumberFormat="1" applyFont="1" applyFill="1" applyAlignment="1" applyProtection="1">
      <alignment vertical="top" wrapText="1"/>
    </xf>
    <xf numFmtId="0" fontId="11" fillId="16" borderId="8" xfId="0" applyNumberFormat="1" applyFont="1" applyFill="1" applyBorder="1" applyAlignment="1" applyProtection="1">
      <alignment horizontal="left" vertical="center" wrapText="1"/>
    </xf>
    <xf numFmtId="0" fontId="1" fillId="9" borderId="8" xfId="0" applyNumberFormat="1" applyFont="1" applyFill="1" applyBorder="1" applyAlignment="1" applyProtection="1">
      <alignment horizontal="left" vertical="center" wrapText="1"/>
    </xf>
    <xf numFmtId="0" fontId="1" fillId="9" borderId="12" xfId="0" applyNumberFormat="1" applyFont="1" applyFill="1" applyBorder="1" applyAlignment="1" applyProtection="1">
      <alignment horizontal="left" vertical="center" wrapText="1"/>
    </xf>
    <xf numFmtId="0" fontId="11" fillId="16" borderId="12" xfId="0" applyNumberFormat="1" applyFont="1" applyFill="1" applyBorder="1" applyAlignment="1" applyProtection="1">
      <alignment horizontal="left" vertical="center" wrapText="1"/>
    </xf>
    <xf numFmtId="0" fontId="1" fillId="16" borderId="8" xfId="0" applyNumberFormat="1" applyFont="1" applyFill="1" applyBorder="1" applyAlignment="1" applyProtection="1">
      <alignment horizontal="left" vertical="center" wrapText="1"/>
    </xf>
    <xf numFmtId="0" fontId="2" fillId="16" borderId="0" xfId="0" applyNumberFormat="1" applyFont="1" applyFill="1" applyAlignment="1" applyProtection="1">
      <alignment horizontal="left" wrapText="1"/>
    </xf>
    <xf numFmtId="0" fontId="39" fillId="16" borderId="8" xfId="0" applyNumberFormat="1" applyFont="1" applyFill="1" applyBorder="1" applyAlignment="1" applyProtection="1">
      <alignment horizontal="left" vertical="center" wrapText="1"/>
    </xf>
    <xf numFmtId="0" fontId="0" fillId="16" borderId="8" xfId="0" applyNumberFormat="1" applyFill="1" applyBorder="1" applyAlignment="1" applyProtection="1">
      <alignment horizontal="left" vertical="center" wrapText="1"/>
    </xf>
    <xf numFmtId="0" fontId="10" fillId="8" borderId="7" xfId="0" applyNumberFormat="1" applyFont="1" applyFill="1" applyBorder="1" applyAlignment="1" applyProtection="1">
      <alignment horizontal="left" wrapText="1"/>
    </xf>
    <xf numFmtId="0" fontId="10" fillId="8" borderId="8" xfId="0" applyNumberFormat="1" applyFont="1" applyFill="1" applyBorder="1" applyAlignment="1" applyProtection="1">
      <alignment horizontal="left" wrapText="1"/>
    </xf>
    <xf numFmtId="0" fontId="10" fillId="8" borderId="9" xfId="0" applyNumberFormat="1" applyFont="1" applyFill="1" applyBorder="1" applyAlignment="1" applyProtection="1">
      <alignment horizontal="left" wrapText="1"/>
    </xf>
    <xf numFmtId="0" fontId="9" fillId="6" borderId="12" xfId="0" applyNumberFormat="1" applyFont="1" applyFill="1" applyBorder="1" applyAlignment="1" applyProtection="1">
      <alignment horizontal="left" vertical="top" wrapText="1"/>
    </xf>
    <xf numFmtId="0" fontId="15" fillId="6" borderId="11" xfId="0" applyNumberFormat="1" applyFont="1" applyFill="1" applyBorder="1" applyAlignment="1" applyProtection="1">
      <alignment vertical="top" wrapText="1"/>
    </xf>
    <xf numFmtId="0" fontId="30" fillId="0" borderId="10" xfId="0" applyNumberFormat="1" applyFont="1" applyFill="1" applyBorder="1" applyAlignment="1" applyProtection="1">
      <alignment vertical="top" wrapText="1"/>
    </xf>
    <xf numFmtId="0" fontId="9" fillId="6" borderId="12" xfId="0" applyNumberFormat="1" applyFont="1" applyFill="1" applyBorder="1" applyAlignment="1" applyProtection="1">
      <alignment vertical="top" wrapText="1"/>
    </xf>
    <xf numFmtId="0" fontId="34" fillId="0" borderId="12" xfId="0" applyNumberFormat="1" applyFont="1" applyFill="1" applyBorder="1" applyAlignment="1" applyProtection="1">
      <alignment vertical="top"/>
    </xf>
    <xf numFmtId="0" fontId="34" fillId="0" borderId="11" xfId="0" applyNumberFormat="1" applyFont="1" applyFill="1" applyBorder="1" applyAlignment="1" applyProtection="1">
      <alignment vertical="top"/>
    </xf>
    <xf numFmtId="0" fontId="34" fillId="0" borderId="3" xfId="0" applyNumberFormat="1" applyFont="1" applyFill="1" applyBorder="1" applyAlignment="1" applyProtection="1">
      <alignment vertical="top"/>
    </xf>
    <xf numFmtId="0" fontId="34" fillId="0" borderId="10" xfId="0" applyNumberFormat="1" applyFont="1" applyFill="1" applyBorder="1" applyAlignment="1" applyProtection="1">
      <alignment vertical="top"/>
    </xf>
    <xf numFmtId="0" fontId="10" fillId="8" borderId="7" xfId="0" applyNumberFormat="1" applyFont="1" applyFill="1" applyBorder="1" applyAlignment="1" applyProtection="1">
      <alignment shrinkToFit="1"/>
    </xf>
    <xf numFmtId="0" fontId="10" fillId="8" borderId="8" xfId="0" applyNumberFormat="1" applyFont="1" applyFill="1" applyBorder="1" applyAlignment="1" applyProtection="1">
      <alignment shrinkToFit="1"/>
    </xf>
    <xf numFmtId="0" fontId="28" fillId="6" borderId="2" xfId="0" applyNumberFormat="1" applyFont="1" applyFill="1" applyBorder="1" applyAlignment="1" applyProtection="1">
      <alignment horizontal="center" vertical="center"/>
    </xf>
    <xf numFmtId="0" fontId="10" fillId="0" borderId="7" xfId="0" applyFont="1" applyFill="1" applyBorder="1" applyAlignment="1" applyProtection="1">
      <alignment shrinkToFit="1"/>
    </xf>
    <xf numFmtId="0" fontId="10" fillId="0" borderId="8" xfId="0" applyFont="1" applyFill="1" applyBorder="1" applyAlignment="1" applyProtection="1">
      <alignment shrinkToFit="1"/>
    </xf>
    <xf numFmtId="0" fontId="19" fillId="0" borderId="7" xfId="0" applyFont="1" applyFill="1" applyBorder="1" applyAlignment="1" applyProtection="1">
      <alignment shrinkToFit="1"/>
    </xf>
    <xf numFmtId="0" fontId="19" fillId="0" borderId="8" xfId="0" applyFont="1" applyFill="1" applyBorder="1" applyAlignment="1" applyProtection="1">
      <alignment shrinkToFit="1"/>
    </xf>
    <xf numFmtId="0" fontId="19" fillId="8" borderId="8" xfId="0" applyNumberFormat="1" applyFont="1" applyFill="1" applyBorder="1" applyAlignment="1" applyProtection="1">
      <alignment shrinkToFit="1"/>
    </xf>
    <xf numFmtId="0" fontId="0" fillId="0" borderId="12" xfId="0" applyNumberFormat="1" applyFill="1" applyBorder="1" applyAlignment="1" applyProtection="1">
      <alignment vertical="top" wrapText="1"/>
    </xf>
    <xf numFmtId="0" fontId="28" fillId="6" borderId="3" xfId="0" applyNumberFormat="1" applyFont="1" applyFill="1" applyBorder="1" applyAlignment="1" applyProtection="1">
      <alignment horizontal="center" wrapText="1"/>
    </xf>
    <xf numFmtId="0" fontId="11" fillId="4" borderId="7" xfId="0" applyNumberFormat="1" applyFont="1" applyFill="1" applyBorder="1" applyAlignment="1" applyProtection="1">
      <alignment horizontal="left" wrapText="1"/>
    </xf>
    <xf numFmtId="0" fontId="11" fillId="4" borderId="8" xfId="0" applyNumberFormat="1" applyFont="1" applyFill="1" applyBorder="1" applyAlignment="1" applyProtection="1">
      <alignment horizontal="left" wrapText="1"/>
    </xf>
    <xf numFmtId="0" fontId="9" fillId="6" borderId="0" xfId="0" applyNumberFormat="1" applyFont="1" applyFill="1" applyAlignment="1" applyProtection="1">
      <alignment horizontal="left" vertical="top" wrapText="1"/>
    </xf>
    <xf numFmtId="0" fontId="6" fillId="2" borderId="7" xfId="0" applyNumberFormat="1" applyFont="1" applyFill="1" applyBorder="1" applyAlignment="1" applyProtection="1">
      <alignment horizontal="center"/>
    </xf>
    <xf numFmtId="0" fontId="6" fillId="2" borderId="8" xfId="0" applyNumberFormat="1" applyFont="1" applyFill="1" applyBorder="1" applyAlignment="1" applyProtection="1">
      <alignment horizontal="center"/>
    </xf>
    <xf numFmtId="0" fontId="6" fillId="2" borderId="9" xfId="0" applyNumberFormat="1" applyFont="1" applyFill="1" applyBorder="1" applyAlignment="1" applyProtection="1">
      <alignment horizontal="center"/>
    </xf>
    <xf numFmtId="0" fontId="6" fillId="2" borderId="12" xfId="0" applyNumberFormat="1" applyFont="1" applyFill="1" applyBorder="1" applyAlignment="1" applyProtection="1">
      <alignment horizontal="left" vertical="top" wrapText="1"/>
    </xf>
    <xf numFmtId="0" fontId="6" fillId="2" borderId="0" xfId="0" applyNumberFormat="1" applyFont="1" applyFill="1" applyAlignment="1" applyProtection="1">
      <alignment horizontal="center"/>
    </xf>
    <xf numFmtId="0" fontId="6" fillId="2" borderId="14" xfId="0" applyNumberFormat="1" applyFont="1" applyFill="1" applyBorder="1" applyAlignment="1" applyProtection="1">
      <alignment horizontal="center"/>
    </xf>
    <xf numFmtId="0" fontId="15" fillId="6" borderId="15" xfId="0" applyNumberFormat="1" applyFont="1" applyFill="1" applyBorder="1" applyAlignment="1" applyProtection="1">
      <alignment horizontal="center" vertical="top" wrapText="1"/>
    </xf>
    <xf numFmtId="0" fontId="15" fillId="6" borderId="3" xfId="0" applyNumberFormat="1" applyFont="1" applyFill="1" applyBorder="1" applyAlignment="1" applyProtection="1">
      <alignment horizontal="center" vertical="top" wrapText="1"/>
    </xf>
    <xf numFmtId="0" fontId="15" fillId="6" borderId="10" xfId="0" applyNumberFormat="1" applyFont="1" applyFill="1" applyBorder="1" applyAlignment="1" applyProtection="1">
      <alignment horizontal="center" vertical="top" wrapText="1"/>
    </xf>
    <xf numFmtId="0" fontId="9" fillId="6" borderId="7" xfId="0" applyNumberFormat="1" applyFont="1" applyFill="1" applyBorder="1" applyAlignment="1" applyProtection="1">
      <alignment horizontal="center" wrapText="1"/>
    </xf>
    <xf numFmtId="0" fontId="9" fillId="6" borderId="8" xfId="0" applyNumberFormat="1" applyFont="1" applyFill="1" applyBorder="1" applyAlignment="1" applyProtection="1">
      <alignment horizontal="center" wrapText="1"/>
    </xf>
    <xf numFmtId="0" fontId="9" fillId="6" borderId="9" xfId="0" applyNumberFormat="1" applyFont="1" applyFill="1" applyBorder="1" applyAlignment="1" applyProtection="1">
      <alignment horizontal="center" wrapText="1"/>
    </xf>
    <xf numFmtId="0" fontId="9" fillId="6" borderId="12" xfId="0" applyNumberFormat="1" applyFont="1" applyFill="1" applyBorder="1" applyAlignment="1" applyProtection="1">
      <alignment horizontal="center"/>
    </xf>
    <xf numFmtId="0" fontId="9" fillId="6" borderId="11" xfId="0" applyNumberFormat="1" applyFont="1" applyFill="1" applyBorder="1" applyAlignment="1" applyProtection="1">
      <alignment horizontal="center"/>
    </xf>
    <xf numFmtId="0" fontId="6" fillId="2" borderId="12" xfId="0" applyNumberFormat="1" applyFont="1" applyFill="1" applyBorder="1" applyAlignment="1" applyProtection="1">
      <alignment horizontal="center"/>
    </xf>
    <xf numFmtId="0" fontId="6" fillId="2" borderId="11" xfId="0" applyNumberFormat="1" applyFont="1" applyFill="1" applyBorder="1" applyAlignment="1" applyProtection="1">
      <alignment horizontal="center"/>
    </xf>
    <xf numFmtId="0" fontId="11" fillId="0" borderId="0" xfId="0" applyNumberFormat="1" applyFont="1" applyFill="1" applyAlignment="1" applyProtection="1">
      <alignment horizontal="center" wrapText="1"/>
    </xf>
    <xf numFmtId="0" fontId="29" fillId="0" borderId="0" xfId="0" applyNumberFormat="1" applyFont="1" applyFill="1" applyAlignment="1" applyProtection="1">
      <alignment horizontal="center"/>
    </xf>
    <xf numFmtId="0" fontId="28" fillId="6" borderId="0" xfId="0" applyNumberFormat="1" applyFont="1" applyFill="1" applyAlignment="1" applyProtection="1">
      <alignment horizontal="left" vertical="center" wrapText="1"/>
    </xf>
    <xf numFmtId="168" fontId="8" fillId="10" borderId="7" xfId="0" applyNumberFormat="1" applyFont="1" applyFill="1" applyBorder="1" applyAlignment="1" applyProtection="1">
      <alignment horizontal="center"/>
      <protection locked="0"/>
    </xf>
    <xf numFmtId="168" fontId="8" fillId="10" borderId="9" xfId="0" applyNumberFormat="1" applyFont="1" applyFill="1" applyBorder="1" applyAlignment="1" applyProtection="1">
      <alignment horizontal="center"/>
      <protection locked="0"/>
    </xf>
    <xf numFmtId="0" fontId="11" fillId="0" borderId="7" xfId="0" applyNumberFormat="1" applyFont="1" applyFill="1" applyBorder="1" applyAlignment="1" applyProtection="1">
      <alignment horizontal="left" vertical="top" wrapText="1"/>
      <protection locked="0"/>
    </xf>
    <xf numFmtId="0" fontId="11" fillId="0" borderId="8" xfId="0" applyNumberFormat="1" applyFont="1" applyFill="1" applyBorder="1" applyAlignment="1" applyProtection="1">
      <alignment horizontal="left" vertical="top" wrapText="1"/>
      <protection locked="0"/>
    </xf>
    <xf numFmtId="0" fontId="11" fillId="0" borderId="9" xfId="0" applyNumberFormat="1" applyFont="1" applyFill="1" applyBorder="1" applyAlignment="1" applyProtection="1">
      <alignment horizontal="left" vertical="top" wrapText="1"/>
      <protection locked="0"/>
    </xf>
    <xf numFmtId="0" fontId="9" fillId="6" borderId="12" xfId="0" applyNumberFormat="1" applyFont="1" applyFill="1" applyBorder="1" applyAlignment="1" applyProtection="1">
      <alignment vertical="center" wrapText="1"/>
    </xf>
    <xf numFmtId="0" fontId="9" fillId="6" borderId="3" xfId="0" applyNumberFormat="1" applyFont="1" applyFill="1" applyBorder="1" applyAlignment="1" applyProtection="1">
      <alignment vertical="center" wrapText="1"/>
    </xf>
    <xf numFmtId="0" fontId="9" fillId="6" borderId="7" xfId="0" applyNumberFormat="1" applyFont="1" applyFill="1" applyBorder="1" applyAlignment="1" applyProtection="1">
      <alignment horizontal="center" vertical="center" wrapText="1"/>
    </xf>
    <xf numFmtId="0" fontId="9" fillId="6" borderId="9" xfId="0" applyNumberFormat="1" applyFont="1" applyFill="1" applyBorder="1" applyAlignment="1" applyProtection="1">
      <alignment horizontal="center" vertical="center" wrapText="1"/>
    </xf>
    <xf numFmtId="37" fontId="8" fillId="10" borderId="7" xfId="0" applyNumberFormat="1" applyFont="1" applyFill="1" applyBorder="1" applyAlignment="1" applyProtection="1">
      <alignment horizontal="center"/>
      <protection locked="0"/>
    </xf>
    <xf numFmtId="37" fontId="8" fillId="10" borderId="9" xfId="0" applyNumberFormat="1" applyFont="1" applyFill="1" applyBorder="1" applyAlignment="1" applyProtection="1">
      <alignment horizontal="center"/>
      <protection locked="0"/>
    </xf>
    <xf numFmtId="0" fontId="9" fillId="6" borderId="13" xfId="0" applyNumberFormat="1" applyFont="1" applyFill="1" applyBorder="1" applyAlignment="1" applyProtection="1">
      <alignment wrapText="1"/>
    </xf>
    <xf numFmtId="0" fontId="9" fillId="6" borderId="0" xfId="0" applyNumberFormat="1" applyFont="1" applyFill="1" applyAlignment="1" applyProtection="1">
      <alignment wrapText="1"/>
    </xf>
    <xf numFmtId="37" fontId="11" fillId="10" borderId="7" xfId="0" applyNumberFormat="1" applyFont="1" applyFill="1" applyBorder="1" applyAlignment="1" applyProtection="1">
      <alignment horizontal="center"/>
    </xf>
    <xf numFmtId="37" fontId="11" fillId="10" borderId="9" xfId="0" applyNumberFormat="1" applyFont="1" applyFill="1" applyBorder="1" applyAlignment="1" applyProtection="1">
      <alignment horizontal="center"/>
    </xf>
    <xf numFmtId="0" fontId="11" fillId="4" borderId="8" xfId="0" applyNumberFormat="1" applyFont="1" applyFill="1" applyBorder="1" applyAlignment="1" applyProtection="1">
      <alignment horizontal="left" vertical="top" wrapText="1"/>
    </xf>
    <xf numFmtId="0" fontId="11" fillId="4" borderId="9" xfId="0" applyNumberFormat="1" applyFont="1" applyFill="1" applyBorder="1" applyAlignment="1" applyProtection="1">
      <alignment horizontal="left" vertical="top" wrapText="1"/>
    </xf>
    <xf numFmtId="0" fontId="10" fillId="3" borderId="7" xfId="0" applyNumberFormat="1" applyFont="1" applyFill="1" applyBorder="1" applyAlignment="1" applyProtection="1">
      <alignment horizontal="left"/>
    </xf>
    <xf numFmtId="0" fontId="10" fillId="3" borderId="8" xfId="0" applyNumberFormat="1" applyFont="1" applyFill="1" applyBorder="1" applyAlignment="1" applyProtection="1">
      <alignment horizontal="left"/>
    </xf>
    <xf numFmtId="0" fontId="11" fillId="10" borderId="8" xfId="0" applyNumberFormat="1" applyFont="1" applyFill="1" applyBorder="1" applyAlignment="1" applyProtection="1">
      <alignment horizontal="left"/>
    </xf>
    <xf numFmtId="0" fontId="11" fillId="10" borderId="9" xfId="0" applyNumberFormat="1" applyFont="1" applyFill="1" applyBorder="1" applyAlignment="1" applyProtection="1">
      <alignment horizontal="left"/>
    </xf>
    <xf numFmtId="0" fontId="11" fillId="0" borderId="8" xfId="0" applyFont="1" applyFill="1" applyBorder="1" applyProtection="1"/>
    <xf numFmtId="37" fontId="8" fillId="10" borderId="7" xfId="0" applyNumberFormat="1" applyFont="1" applyFill="1" applyBorder="1" applyAlignment="1" applyProtection="1">
      <alignment horizontal="center" wrapText="1"/>
      <protection locked="0"/>
    </xf>
    <xf numFmtId="0" fontId="10" fillId="7" borderId="7" xfId="0" applyNumberFormat="1" applyFont="1" applyFill="1" applyBorder="1" applyAlignment="1" applyProtection="1"/>
    <xf numFmtId="0" fontId="10" fillId="7" borderId="8" xfId="0" applyNumberFormat="1" applyFont="1" applyFill="1" applyBorder="1" applyAlignment="1" applyProtection="1"/>
    <xf numFmtId="0" fontId="10" fillId="7" borderId="9" xfId="0" applyNumberFormat="1" applyFont="1" applyFill="1" applyBorder="1" applyAlignment="1" applyProtection="1"/>
    <xf numFmtId="0" fontId="33" fillId="0" borderId="7" xfId="0" applyNumberFormat="1" applyFont="1" applyFill="1" applyBorder="1" applyAlignment="1" applyProtection="1">
      <alignment vertical="top" wrapText="1"/>
    </xf>
    <xf numFmtId="0" fontId="33" fillId="0" borderId="9" xfId="0" applyNumberFormat="1" applyFont="1" applyFill="1" applyBorder="1" applyAlignment="1" applyProtection="1">
      <alignment vertical="top" wrapText="1"/>
    </xf>
    <xf numFmtId="0" fontId="33" fillId="0" borderId="7" xfId="0" applyNumberFormat="1" applyFont="1" applyFill="1" applyBorder="1" applyAlignment="1" applyProtection="1"/>
    <xf numFmtId="0" fontId="33" fillId="0" borderId="9" xfId="0" applyNumberFormat="1" applyFont="1" applyFill="1" applyBorder="1" applyAlignment="1" applyProtection="1"/>
    <xf numFmtId="0" fontId="32" fillId="6" borderId="26" xfId="0" applyNumberFormat="1" applyFont="1" applyFill="1" applyBorder="1" applyAlignment="1" applyProtection="1">
      <alignment horizontal="center"/>
    </xf>
    <xf numFmtId="0" fontId="32" fillId="6" borderId="21" xfId="0" applyNumberFormat="1" applyFont="1" applyFill="1" applyBorder="1" applyAlignment="1" applyProtection="1">
      <alignment horizontal="center"/>
    </xf>
    <xf numFmtId="0" fontId="10" fillId="0" borderId="2"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33" fillId="0" borderId="7" xfId="0" applyNumberFormat="1" applyFont="1" applyFill="1" applyBorder="1" applyAlignment="1" applyProtection="1">
      <alignment wrapText="1"/>
    </xf>
    <xf numFmtId="0" fontId="33" fillId="0" borderId="9" xfId="0" applyNumberFormat="1" applyFont="1" applyFill="1" applyBorder="1" applyAlignment="1" applyProtection="1">
      <alignment wrapText="1"/>
    </xf>
    <xf numFmtId="0" fontId="33" fillId="0" borderId="8" xfId="0" applyNumberFormat="1" applyFont="1" applyFill="1" applyBorder="1" applyAlignment="1" applyProtection="1"/>
  </cellXfs>
  <cellStyles count="10">
    <cellStyle name="Comma 2" xfId="9"/>
    <cellStyle name="Normal" xfId="0" builtinId="0"/>
    <cellStyle name="Normal 2" xfId="1"/>
    <cellStyle name="Normal 2 2" xfId="3"/>
    <cellStyle name="Normal 3" xfId="2"/>
    <cellStyle name="Normal 4" xfId="4"/>
    <cellStyle name="Normal 5" xfId="5"/>
    <cellStyle name="Percent 2" xfId="6"/>
    <cellStyle name="Percent 3" xfId="7"/>
    <cellStyle name="Percent 4" xfId="8"/>
  </cellStyles>
  <dxfs count="242">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FF66"/>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8585"/>
        </patternFill>
      </fill>
    </dxf>
    <dxf>
      <fill>
        <patternFill patternType="solid">
          <bgColor rgb="FFFFFF66"/>
        </patternFill>
      </fill>
    </dxf>
    <dxf>
      <fill>
        <patternFill patternType="solid">
          <bgColor rgb="FFFFFF66"/>
        </patternFill>
      </fill>
    </dxf>
    <dxf>
      <fill>
        <patternFill patternType="solid">
          <bgColor rgb="FFFFFF66"/>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47"/>
      </font>
    </dxf>
  </dxfs>
  <tableStyles count="0" defaultTableStyle="TableStyleMedium2" defaultPivotStyle="PivotStyleLight16"/>
  <colors>
    <mruColors>
      <color rgb="FFFFFF66"/>
      <color rgb="FFDDE1EB"/>
      <color rgb="FF0000FF"/>
      <color rgb="FF647B96"/>
      <color rgb="FFAFC0EF"/>
      <color rgb="FFFF8585"/>
      <color rgb="FFFF8F8F"/>
      <color rgb="FFFF8FFF"/>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esa.ac.uk/collection/c16031" TargetMode="External"/><Relationship Id="rId1" Type="http://schemas.openxmlformats.org/officeDocument/2006/relationships/hyperlink" Target="mailto:liaison@hesa.ac.uk"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5"/>
  <sheetViews>
    <sheetView workbookViewId="0">
      <selection activeCell="A2" sqref="A2 A2"/>
    </sheetView>
  </sheetViews>
  <sheetFormatPr defaultRowHeight="15" x14ac:dyDescent="0.25"/>
  <cols>
    <col min="1" max="1" width="10.7109375" style="44" bestFit="1" customWidth="1"/>
  </cols>
  <sheetData>
    <row r="1" spans="1:1" x14ac:dyDescent="0.25">
      <c r="A1" s="45" t="s">
        <v>0</v>
      </c>
    </row>
    <row r="2" spans="1:1" x14ac:dyDescent="0.25">
      <c r="A2" s="44" t="s">
        <v>1</v>
      </c>
    </row>
    <row r="3" spans="1:1" x14ac:dyDescent="0.25">
      <c r="A3" s="44" t="s">
        <v>2</v>
      </c>
    </row>
    <row r="5" spans="1:1" x14ac:dyDescent="0.25">
      <c r="A5" s="45" t="s">
        <v>3</v>
      </c>
    </row>
    <row r="6" spans="1:1" x14ac:dyDescent="0.25">
      <c r="A6" s="44" t="s">
        <v>4</v>
      </c>
    </row>
    <row r="7" spans="1:1" x14ac:dyDescent="0.25">
      <c r="A7" s="44" t="s">
        <v>5</v>
      </c>
    </row>
    <row r="8" spans="1:1" x14ac:dyDescent="0.25">
      <c r="A8" s="44" t="s">
        <v>6</v>
      </c>
    </row>
    <row r="9" spans="1:1" x14ac:dyDescent="0.25">
      <c r="A9" s="44" t="s">
        <v>7</v>
      </c>
    </row>
    <row r="10" spans="1:1" x14ac:dyDescent="0.25">
      <c r="A10" s="44" t="s">
        <v>8</v>
      </c>
    </row>
    <row r="15" spans="1:1" x14ac:dyDescent="0.25">
      <c r="A15" s="45"/>
    </row>
  </sheetData>
  <sheetProtection algorithmName="SHA-512" hashValue="2cnt7h3GHH+/f+FQ/rokrft6RdHccE7heteyos6j4auB7nZRIo9O9u2NsiVX1Xq0gcov6Z1GFA6bzkCkBH12zw==" saltValue="8fTPu6OT9/hx5PZjtLxbLA=="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6"/>
  <sheetViews>
    <sheetView topLeftCell="A31" zoomScale="90" zoomScaleNormal="90" workbookViewId="0">
      <selection activeCell="H58" sqref="H58:H60"/>
    </sheetView>
  </sheetViews>
  <sheetFormatPr defaultColWidth="9.85546875" defaultRowHeight="12.75" x14ac:dyDescent="0.2"/>
  <cols>
    <col min="1" max="1" width="10" style="389" bestFit="1" customWidth="1"/>
    <col min="2" max="2" width="2.7109375" style="315" customWidth="1"/>
    <col min="3" max="3" width="2.85546875" style="315" customWidth="1"/>
    <col min="4" max="4" width="86.28515625" style="315" customWidth="1"/>
    <col min="5" max="6" width="2.140625" style="315" hidden="1" customWidth="1"/>
    <col min="7" max="7" width="2.28515625" style="315" hidden="1" customWidth="1"/>
    <col min="8" max="8" width="16.5703125" style="315" customWidth="1"/>
    <col min="9" max="9" width="8.28515625" style="315" customWidth="1"/>
    <col min="10" max="12" width="17.7109375" style="315" customWidth="1"/>
    <col min="13" max="13" width="9.85546875" style="315" customWidth="1"/>
    <col min="14" max="16384" width="9.85546875" style="315"/>
  </cols>
  <sheetData>
    <row r="1" spans="1:10" customFormat="1" ht="15.4" customHeight="1" x14ac:dyDescent="0.25">
      <c r="A1" s="390" t="s">
        <v>1033</v>
      </c>
      <c r="B1" s="391" t="s">
        <v>1034</v>
      </c>
      <c r="C1" s="391"/>
      <c r="D1" s="391"/>
      <c r="E1" s="391"/>
      <c r="F1" s="391"/>
      <c r="G1" s="391"/>
      <c r="H1" s="392"/>
    </row>
    <row r="2" spans="1:10" customFormat="1" ht="15" customHeight="1" x14ac:dyDescent="0.25">
      <c r="A2" s="393"/>
      <c r="B2" s="394"/>
      <c r="C2" s="394"/>
      <c r="D2" s="394"/>
      <c r="E2" s="394"/>
      <c r="F2" s="394"/>
      <c r="G2" s="394"/>
      <c r="H2" s="395"/>
    </row>
    <row r="3" spans="1:10" customFormat="1" ht="9" customHeight="1" x14ac:dyDescent="0.25">
      <c r="A3" s="393"/>
      <c r="B3" s="394"/>
      <c r="C3" s="394"/>
      <c r="D3" s="394"/>
      <c r="E3" s="394"/>
      <c r="F3" s="394"/>
      <c r="G3" s="394"/>
      <c r="H3" s="395"/>
    </row>
    <row r="4" spans="1:10" customFormat="1" ht="8.25" customHeight="1" x14ac:dyDescent="0.25">
      <c r="A4" s="393"/>
      <c r="B4" s="396"/>
      <c r="C4" s="396"/>
      <c r="D4" s="396"/>
      <c r="E4" s="396"/>
      <c r="F4" s="396"/>
      <c r="G4" s="396"/>
      <c r="H4" s="395"/>
    </row>
    <row r="5" spans="1:10" customFormat="1" ht="15.4" customHeight="1" x14ac:dyDescent="0.25">
      <c r="A5" s="393"/>
      <c r="B5" s="397"/>
      <c r="C5" s="397"/>
      <c r="D5" s="397"/>
      <c r="E5" s="397"/>
      <c r="F5" s="397"/>
      <c r="G5" s="397"/>
      <c r="H5" s="275" t="s">
        <v>616</v>
      </c>
    </row>
    <row r="6" spans="1:10" customFormat="1" ht="12.75" customHeight="1" x14ac:dyDescent="0.25">
      <c r="A6" s="323">
        <v>1</v>
      </c>
      <c r="B6" s="7" t="s">
        <v>622</v>
      </c>
      <c r="C6" s="335"/>
      <c r="D6" s="335"/>
      <c r="E6" s="335"/>
      <c r="F6" s="335"/>
      <c r="G6" s="8"/>
      <c r="H6" s="3">
        <f>Table_6_UK!K65</f>
        <v>312015</v>
      </c>
    </row>
    <row r="7" spans="1:10" customFormat="1" ht="12.75" customHeight="1" x14ac:dyDescent="0.25">
      <c r="A7" s="323"/>
      <c r="B7" s="7"/>
      <c r="C7" s="335"/>
      <c r="D7" s="335"/>
      <c r="E7" s="335"/>
      <c r="F7" s="335"/>
      <c r="G7" s="8"/>
      <c r="H7" s="3"/>
    </row>
    <row r="8" spans="1:10" customFormat="1" ht="12.75" customHeight="1" x14ac:dyDescent="0.25">
      <c r="A8" s="323">
        <v>2</v>
      </c>
      <c r="B8" s="382" t="s">
        <v>624</v>
      </c>
      <c r="C8" s="383"/>
      <c r="D8" s="383"/>
      <c r="E8" s="383"/>
      <c r="F8" s="383"/>
      <c r="G8" s="384"/>
      <c r="H8" s="345">
        <f>IF(Title_Page!B4="W",Table_7_Wales!H15,IF(Title_Page!B4="S",Table_7_Scotland!H13,IF(Title_Page!B4="E",Table_7_England!H12,IF(Title_Page!B4="N",Table_7_N_Ireland!H10,0))))</f>
        <v>186652</v>
      </c>
    </row>
    <row r="9" spans="1:10" customFormat="1" ht="12.75" customHeight="1" x14ac:dyDescent="0.25">
      <c r="A9" s="323"/>
      <c r="B9" s="382"/>
      <c r="C9" s="383"/>
      <c r="D9" s="383"/>
      <c r="E9" s="383"/>
      <c r="F9" s="383"/>
      <c r="G9" s="384"/>
      <c r="H9" s="359"/>
    </row>
    <row r="10" spans="1:10" customFormat="1" ht="12.75" customHeight="1" x14ac:dyDescent="0.25">
      <c r="A10" s="323">
        <v>3</v>
      </c>
      <c r="B10" s="324" t="s">
        <v>626</v>
      </c>
      <c r="C10" s="325"/>
      <c r="D10" s="325"/>
      <c r="E10" s="325"/>
      <c r="F10" s="325"/>
      <c r="G10" s="326"/>
      <c r="H10" s="333"/>
      <c r="J10" s="315"/>
    </row>
    <row r="11" spans="1:10" customFormat="1" ht="12.75" customHeight="1" x14ac:dyDescent="0.25">
      <c r="A11" s="323" t="s">
        <v>736</v>
      </c>
      <c r="B11" s="378"/>
      <c r="C11" s="336" t="s">
        <v>1035</v>
      </c>
      <c r="D11" s="398"/>
      <c r="E11" s="398"/>
      <c r="F11" s="398"/>
      <c r="G11" s="399"/>
      <c r="H11" s="5"/>
    </row>
    <row r="12" spans="1:10" customFormat="1" ht="12.75" customHeight="1" x14ac:dyDescent="0.25">
      <c r="A12" s="323" t="s">
        <v>996</v>
      </c>
      <c r="B12" s="334"/>
      <c r="C12" s="335"/>
      <c r="D12" s="336" t="s">
        <v>1036</v>
      </c>
      <c r="E12" s="335"/>
      <c r="F12" s="335"/>
      <c r="G12" s="337"/>
      <c r="H12" s="3">
        <f>Table_5_UK!H61</f>
        <v>23725</v>
      </c>
    </row>
    <row r="13" spans="1:10" customFormat="1" ht="12.75" customHeight="1" x14ac:dyDescent="0.25">
      <c r="A13" s="323" t="s">
        <v>998</v>
      </c>
      <c r="B13" s="334"/>
      <c r="C13" s="335"/>
      <c r="D13" s="336" t="s">
        <v>1037</v>
      </c>
      <c r="E13" s="335"/>
      <c r="F13" s="335"/>
      <c r="G13" s="337"/>
      <c r="H13" s="3">
        <f>Table_5_UK!I61</f>
        <v>35396</v>
      </c>
    </row>
    <row r="14" spans="1:10" customFormat="1" ht="12.75" customHeight="1" x14ac:dyDescent="0.25">
      <c r="A14" s="323" t="s">
        <v>1000</v>
      </c>
      <c r="B14" s="334"/>
      <c r="C14" s="335"/>
      <c r="D14" s="336" t="s">
        <v>1038</v>
      </c>
      <c r="E14" s="335"/>
      <c r="F14" s="335"/>
      <c r="G14" s="337"/>
      <c r="H14" s="3">
        <f>Table_5_UK!J61</f>
        <v>8058</v>
      </c>
    </row>
    <row r="15" spans="1:10" customFormat="1" ht="12.75" customHeight="1" x14ac:dyDescent="0.25">
      <c r="A15" s="323" t="s">
        <v>1002</v>
      </c>
      <c r="B15" s="334"/>
      <c r="C15" s="335"/>
      <c r="D15" s="336" t="s">
        <v>1039</v>
      </c>
      <c r="E15" s="335"/>
      <c r="F15" s="335"/>
      <c r="G15" s="337"/>
      <c r="H15" s="3">
        <f>Table_5_UK!K61</f>
        <v>26564</v>
      </c>
    </row>
    <row r="16" spans="1:10" customFormat="1" ht="12.75" customHeight="1" x14ac:dyDescent="0.25">
      <c r="A16" s="323" t="s">
        <v>1004</v>
      </c>
      <c r="B16" s="334"/>
      <c r="C16" s="335"/>
      <c r="D16" s="336" t="s">
        <v>1040</v>
      </c>
      <c r="E16" s="335"/>
      <c r="F16" s="335"/>
      <c r="G16" s="337"/>
      <c r="H16" s="3">
        <f>Table_5_UK!L61</f>
        <v>8645</v>
      </c>
    </row>
    <row r="17" spans="1:8" customFormat="1" ht="12.75" customHeight="1" x14ac:dyDescent="0.25">
      <c r="A17" s="323" t="s">
        <v>1006</v>
      </c>
      <c r="B17" s="334"/>
      <c r="C17" s="335"/>
      <c r="D17" s="336" t="s">
        <v>1041</v>
      </c>
      <c r="E17" s="335"/>
      <c r="F17" s="335"/>
      <c r="G17" s="337"/>
      <c r="H17" s="3">
        <f>Table_5_UK!M61</f>
        <v>1794</v>
      </c>
    </row>
    <row r="18" spans="1:8" customFormat="1" ht="12.75" customHeight="1" x14ac:dyDescent="0.25">
      <c r="A18" s="323" t="s">
        <v>1008</v>
      </c>
      <c r="B18" s="334"/>
      <c r="C18" s="335"/>
      <c r="D18" s="336" t="s">
        <v>1042</v>
      </c>
      <c r="E18" s="335"/>
      <c r="F18" s="335"/>
      <c r="G18" s="337"/>
      <c r="H18" s="3">
        <f>Table_5_UK!N61</f>
        <v>10035</v>
      </c>
    </row>
    <row r="19" spans="1:8" customFormat="1" ht="12.75" customHeight="1" x14ac:dyDescent="0.25">
      <c r="A19" s="323" t="s">
        <v>1010</v>
      </c>
      <c r="B19" s="400"/>
      <c r="C19" s="401"/>
      <c r="D19" s="402" t="s">
        <v>8</v>
      </c>
      <c r="E19" s="401"/>
      <c r="F19" s="401"/>
      <c r="G19" s="403"/>
      <c r="H19" s="3">
        <f>Table_5_UK!O61</f>
        <v>2208</v>
      </c>
    </row>
    <row r="20" spans="1:8" x14ac:dyDescent="0.2">
      <c r="A20" s="323" t="s">
        <v>1043</v>
      </c>
      <c r="B20" s="369"/>
      <c r="C20" s="370" t="s">
        <v>1044</v>
      </c>
      <c r="D20" s="404"/>
      <c r="E20" s="404"/>
      <c r="F20" s="404"/>
      <c r="G20" s="405"/>
      <c r="H20" s="360">
        <f>SUM(H12:H19)</f>
        <v>116425</v>
      </c>
    </row>
    <row r="21" spans="1:8" customFormat="1" ht="12.75" customHeight="1" x14ac:dyDescent="0.25">
      <c r="A21" s="323" t="s">
        <v>738</v>
      </c>
      <c r="B21" s="378"/>
      <c r="C21" s="336" t="s">
        <v>876</v>
      </c>
      <c r="D21" s="406"/>
      <c r="E21" s="406"/>
      <c r="F21" s="406"/>
      <c r="G21" s="407"/>
      <c r="H21" s="3">
        <f>Table_5_UK!Q61</f>
        <v>58929</v>
      </c>
    </row>
    <row r="22" spans="1:8" customFormat="1" ht="12.75" customHeight="1" x14ac:dyDescent="0.25">
      <c r="A22" s="323" t="s">
        <v>740</v>
      </c>
      <c r="B22" s="378"/>
      <c r="C22" s="336" t="s">
        <v>877</v>
      </c>
      <c r="D22" s="406"/>
      <c r="E22" s="406"/>
      <c r="F22" s="406"/>
      <c r="G22" s="407"/>
      <c r="H22" s="3">
        <f>Table_5_UK!R61</f>
        <v>461</v>
      </c>
    </row>
    <row r="23" spans="1:8" customFormat="1" ht="12.75" customHeight="1" x14ac:dyDescent="0.25">
      <c r="A23" s="323" t="s">
        <v>742</v>
      </c>
      <c r="B23" s="378"/>
      <c r="C23" s="336" t="s">
        <v>878</v>
      </c>
      <c r="D23" s="406"/>
      <c r="E23" s="406"/>
      <c r="F23" s="406"/>
      <c r="G23" s="407"/>
      <c r="H23" s="3">
        <f>Table_5_UK!S61</f>
        <v>30268</v>
      </c>
    </row>
    <row r="24" spans="1:8" customFormat="1" ht="12.75" customHeight="1" x14ac:dyDescent="0.25">
      <c r="A24" s="323" t="s">
        <v>744</v>
      </c>
      <c r="B24" s="378"/>
      <c r="C24" s="336" t="s">
        <v>879</v>
      </c>
      <c r="D24" s="406"/>
      <c r="E24" s="406"/>
      <c r="F24" s="406"/>
      <c r="G24" s="407"/>
      <c r="H24" s="3">
        <f>Table_5_UK!T61</f>
        <v>0</v>
      </c>
    </row>
    <row r="25" spans="1:8" customFormat="1" ht="12.75" customHeight="1" x14ac:dyDescent="0.25">
      <c r="A25" s="323" t="s">
        <v>746</v>
      </c>
      <c r="B25" s="378"/>
      <c r="C25" s="336" t="s">
        <v>880</v>
      </c>
      <c r="D25" s="406"/>
      <c r="E25" s="406"/>
      <c r="F25" s="406"/>
      <c r="G25" s="407"/>
      <c r="H25" s="3">
        <f>Table_5_UK!U61</f>
        <v>9565</v>
      </c>
    </row>
    <row r="26" spans="1:8" customFormat="1" ht="12.75" customHeight="1" x14ac:dyDescent="0.25">
      <c r="A26" s="323" t="s">
        <v>1045</v>
      </c>
      <c r="B26" s="378"/>
      <c r="C26" s="336" t="s">
        <v>881</v>
      </c>
      <c r="D26" s="406"/>
      <c r="E26" s="406"/>
      <c r="F26" s="406"/>
      <c r="G26" s="407"/>
      <c r="H26" s="3">
        <f>Table_5_UK!V61</f>
        <v>7354</v>
      </c>
    </row>
    <row r="27" spans="1:8" customFormat="1" ht="12.75" customHeight="1" x14ac:dyDescent="0.25">
      <c r="A27" s="323" t="s">
        <v>1046</v>
      </c>
      <c r="B27" s="378"/>
      <c r="C27" s="336" t="s">
        <v>882</v>
      </c>
      <c r="D27" s="406"/>
      <c r="E27" s="406"/>
      <c r="F27" s="406"/>
      <c r="G27" s="407"/>
      <c r="H27" s="3">
        <f>Table_5_UK!W61</f>
        <v>36207</v>
      </c>
    </row>
    <row r="28" spans="1:8" customFormat="1" ht="12.75" customHeight="1" x14ac:dyDescent="0.25">
      <c r="A28" s="323" t="s">
        <v>1047</v>
      </c>
      <c r="B28" s="378"/>
      <c r="C28" s="336" t="s">
        <v>883</v>
      </c>
      <c r="D28" s="406"/>
      <c r="E28" s="406"/>
      <c r="F28" s="406"/>
      <c r="G28" s="407"/>
      <c r="H28" s="3">
        <f>Table_5_UK!X61</f>
        <v>206</v>
      </c>
    </row>
    <row r="29" spans="1:8" customFormat="1" ht="12.75" customHeight="1" x14ac:dyDescent="0.25">
      <c r="A29" s="323" t="s">
        <v>1048</v>
      </c>
      <c r="B29" s="378"/>
      <c r="C29" s="336" t="s">
        <v>884</v>
      </c>
      <c r="D29" s="406"/>
      <c r="E29" s="406"/>
      <c r="F29" s="406"/>
      <c r="G29" s="407"/>
      <c r="H29" s="3">
        <f>Table_5_UK!Y61</f>
        <v>2981</v>
      </c>
    </row>
    <row r="30" spans="1:8" customFormat="1" ht="12.75" customHeight="1" x14ac:dyDescent="0.25">
      <c r="A30" s="323" t="s">
        <v>1049</v>
      </c>
      <c r="B30" s="378"/>
      <c r="C30" s="336" t="s">
        <v>885</v>
      </c>
      <c r="D30" s="406"/>
      <c r="E30" s="406"/>
      <c r="F30" s="406"/>
      <c r="G30" s="407"/>
      <c r="H30" s="3">
        <f>Table_5_UK!Z61</f>
        <v>1225</v>
      </c>
    </row>
    <row r="31" spans="1:8" customFormat="1" ht="12.75" customHeight="1" x14ac:dyDescent="0.25">
      <c r="A31" s="323" t="s">
        <v>1050</v>
      </c>
      <c r="B31" s="378"/>
      <c r="C31" s="336" t="s">
        <v>886</v>
      </c>
      <c r="D31" s="406"/>
      <c r="E31" s="406"/>
      <c r="F31" s="406"/>
      <c r="G31" s="407"/>
      <c r="H31" s="3">
        <f>Table_5_UK!AA61</f>
        <v>5648</v>
      </c>
    </row>
    <row r="32" spans="1:8" customFormat="1" ht="12.75" customHeight="1" x14ac:dyDescent="0.25">
      <c r="A32" s="323" t="s">
        <v>1051</v>
      </c>
      <c r="B32" s="378"/>
      <c r="C32" s="336" t="s">
        <v>887</v>
      </c>
      <c r="D32" s="406"/>
      <c r="E32" s="406"/>
      <c r="F32" s="406"/>
      <c r="G32" s="407"/>
      <c r="H32" s="3">
        <f>Table_5_UK!AB61</f>
        <v>3323</v>
      </c>
    </row>
    <row r="33" spans="1:8" customFormat="1" ht="12.75" customHeight="1" x14ac:dyDescent="0.25">
      <c r="A33" s="323" t="s">
        <v>1052</v>
      </c>
      <c r="B33" s="378"/>
      <c r="C33" s="336" t="s">
        <v>888</v>
      </c>
      <c r="D33" s="406"/>
      <c r="E33" s="406"/>
      <c r="F33" s="406"/>
      <c r="G33" s="407"/>
      <c r="H33" s="3">
        <f>Table_5_UK!AC61</f>
        <v>7112</v>
      </c>
    </row>
    <row r="34" spans="1:8" customFormat="1" ht="12.75" customHeight="1" x14ac:dyDescent="0.25">
      <c r="A34" s="323" t="s">
        <v>1053</v>
      </c>
      <c r="B34" s="369" t="s">
        <v>1054</v>
      </c>
      <c r="C34" s="370"/>
      <c r="D34" s="370"/>
      <c r="E34" s="370"/>
      <c r="F34" s="370"/>
      <c r="G34" s="371"/>
      <c r="H34" s="360">
        <f>SUM(H20:H33)</f>
        <v>279704</v>
      </c>
    </row>
    <row r="35" spans="1:8" customFormat="1" ht="12.75" customHeight="1" x14ac:dyDescent="0.25">
      <c r="A35" s="323"/>
      <c r="B35" s="382"/>
      <c r="C35" s="383"/>
      <c r="D35" s="383"/>
      <c r="E35" s="383"/>
      <c r="F35" s="383"/>
      <c r="G35" s="384"/>
      <c r="H35" s="359"/>
    </row>
    <row r="36" spans="1:8" customFormat="1" ht="12.75" customHeight="1" x14ac:dyDescent="0.25">
      <c r="A36" s="323">
        <v>4</v>
      </c>
      <c r="B36" s="324" t="s">
        <v>628</v>
      </c>
      <c r="C36" s="325"/>
      <c r="D36" s="325"/>
      <c r="E36" s="325"/>
      <c r="F36" s="325"/>
      <c r="G36" s="326"/>
      <c r="H36" s="333"/>
    </row>
    <row r="37" spans="1:8" customFormat="1" ht="12.75" customHeight="1" x14ac:dyDescent="0.25">
      <c r="A37" s="323" t="s">
        <v>707</v>
      </c>
      <c r="B37" s="378"/>
      <c r="C37" s="336" t="s">
        <v>1055</v>
      </c>
      <c r="D37" s="406"/>
      <c r="E37" s="406"/>
      <c r="F37" s="406"/>
      <c r="G37" s="407"/>
      <c r="H37" s="359"/>
    </row>
    <row r="38" spans="1:8" customFormat="1" ht="24.75" customHeight="1" x14ac:dyDescent="0.25">
      <c r="A38" s="323" t="s">
        <v>996</v>
      </c>
      <c r="B38" s="334"/>
      <c r="C38" s="401"/>
      <c r="D38" s="402" t="s">
        <v>1056</v>
      </c>
      <c r="E38" s="401"/>
      <c r="F38" s="401"/>
      <c r="G38" s="403"/>
      <c r="H38" s="358">
        <v>3282</v>
      </c>
    </row>
    <row r="39" spans="1:8" customFormat="1" ht="12.75" customHeight="1" x14ac:dyDescent="0.25">
      <c r="A39" s="323" t="s">
        <v>998</v>
      </c>
      <c r="B39" s="334"/>
      <c r="C39" s="335"/>
      <c r="D39" s="336" t="s">
        <v>8</v>
      </c>
      <c r="E39" s="335"/>
      <c r="F39" s="335"/>
      <c r="G39" s="337"/>
      <c r="H39" s="358">
        <v>30299</v>
      </c>
    </row>
    <row r="40" spans="1:8" customFormat="1" ht="12.75" customHeight="1" x14ac:dyDescent="0.25">
      <c r="A40" s="323" t="s">
        <v>1000</v>
      </c>
      <c r="B40" s="408"/>
      <c r="C40" s="370" t="s">
        <v>1057</v>
      </c>
      <c r="D40" s="409"/>
      <c r="E40" s="409"/>
      <c r="F40" s="409"/>
      <c r="G40" s="410"/>
      <c r="H40" s="360">
        <f>SUM(H38:H39)</f>
        <v>33581</v>
      </c>
    </row>
    <row r="41" spans="1:8" customFormat="1" ht="12.75" customHeight="1" x14ac:dyDescent="0.25">
      <c r="A41" s="323" t="s">
        <v>708</v>
      </c>
      <c r="B41" s="378"/>
      <c r="C41" s="336" t="s">
        <v>1058</v>
      </c>
      <c r="D41" s="406"/>
      <c r="E41" s="406"/>
      <c r="F41" s="406"/>
      <c r="G41" s="407"/>
      <c r="H41" s="411"/>
    </row>
    <row r="42" spans="1:8" customFormat="1" ht="12.75" customHeight="1" x14ac:dyDescent="0.25">
      <c r="A42" s="323" t="s">
        <v>996</v>
      </c>
      <c r="B42" s="334"/>
      <c r="C42" s="335"/>
      <c r="D42" s="336" t="s">
        <v>1059</v>
      </c>
      <c r="E42" s="335"/>
      <c r="F42" s="335"/>
      <c r="G42" s="337"/>
      <c r="H42" s="358">
        <v>61347</v>
      </c>
    </row>
    <row r="43" spans="1:8" customFormat="1" ht="12.75" customHeight="1" x14ac:dyDescent="0.25">
      <c r="A43" s="323" t="s">
        <v>998</v>
      </c>
      <c r="B43" s="334"/>
      <c r="C43" s="335"/>
      <c r="D43" s="336" t="s">
        <v>1060</v>
      </c>
      <c r="E43" s="335"/>
      <c r="F43" s="335"/>
      <c r="G43" s="337"/>
      <c r="H43" s="358">
        <v>10256</v>
      </c>
    </row>
    <row r="44" spans="1:8" customFormat="1" ht="12.75" customHeight="1" x14ac:dyDescent="0.25">
      <c r="A44" s="323" t="s">
        <v>1000</v>
      </c>
      <c r="B44" s="408"/>
      <c r="C44" s="370" t="s">
        <v>1061</v>
      </c>
      <c r="D44" s="409"/>
      <c r="E44" s="409"/>
      <c r="F44" s="409"/>
      <c r="G44" s="410"/>
      <c r="H44" s="360">
        <f>SUM(H42:H43)</f>
        <v>71603</v>
      </c>
    </row>
    <row r="45" spans="1:8" customFormat="1" ht="12.75" customHeight="1" x14ac:dyDescent="0.25">
      <c r="A45" s="323" t="s">
        <v>709</v>
      </c>
      <c r="B45" s="378"/>
      <c r="C45" s="336" t="s">
        <v>1062</v>
      </c>
      <c r="D45" s="406"/>
      <c r="E45" s="406"/>
      <c r="F45" s="406"/>
      <c r="G45" s="407"/>
      <c r="H45" s="358">
        <v>0</v>
      </c>
    </row>
    <row r="46" spans="1:8" customFormat="1" ht="12.75" customHeight="1" x14ac:dyDescent="0.25">
      <c r="A46" s="323" t="s">
        <v>710</v>
      </c>
      <c r="B46" s="378"/>
      <c r="C46" s="336" t="s">
        <v>1063</v>
      </c>
      <c r="D46" s="398"/>
      <c r="E46" s="398"/>
      <c r="F46" s="398"/>
      <c r="G46" s="399"/>
      <c r="H46" s="358">
        <v>14758</v>
      </c>
    </row>
    <row r="47" spans="1:8" customFormat="1" ht="12.75" customHeight="1" x14ac:dyDescent="0.25">
      <c r="A47" s="323" t="s">
        <v>711</v>
      </c>
      <c r="B47" s="378"/>
      <c r="C47" s="336" t="s">
        <v>1064</v>
      </c>
      <c r="D47" s="406"/>
      <c r="E47" s="406"/>
      <c r="F47" s="406"/>
      <c r="G47" s="407"/>
      <c r="H47" s="358">
        <v>13231</v>
      </c>
    </row>
    <row r="48" spans="1:8" customFormat="1" ht="12.75" customHeight="1" x14ac:dyDescent="0.25">
      <c r="A48" s="323" t="s">
        <v>1065</v>
      </c>
      <c r="B48" s="378"/>
      <c r="C48" s="336" t="s">
        <v>1066</v>
      </c>
      <c r="D48" s="406"/>
      <c r="E48" s="406"/>
      <c r="F48" s="406"/>
      <c r="G48" s="407"/>
      <c r="H48" s="358">
        <v>821</v>
      </c>
    </row>
    <row r="49" spans="1:10" customFormat="1" ht="12.75" customHeight="1" x14ac:dyDescent="0.25">
      <c r="A49" s="323" t="s">
        <v>1067</v>
      </c>
      <c r="B49" s="378"/>
      <c r="C49" s="336" t="s">
        <v>1068</v>
      </c>
      <c r="D49" s="406"/>
      <c r="E49" s="406"/>
      <c r="F49" s="406"/>
      <c r="G49" s="407"/>
      <c r="H49" s="358">
        <v>2391</v>
      </c>
    </row>
    <row r="50" spans="1:10" customFormat="1" ht="12.75" customHeight="1" x14ac:dyDescent="0.25">
      <c r="A50" s="323" t="s">
        <v>1069</v>
      </c>
      <c r="B50" s="378"/>
      <c r="C50" s="336" t="s">
        <v>1070</v>
      </c>
      <c r="D50" s="406"/>
      <c r="E50" s="406"/>
      <c r="F50" s="406"/>
      <c r="G50" s="407"/>
      <c r="H50" s="358">
        <v>31999</v>
      </c>
    </row>
    <row r="51" spans="1:10" customFormat="1" ht="12.75" customHeight="1" x14ac:dyDescent="0.25">
      <c r="A51" s="323" t="s">
        <v>1071</v>
      </c>
      <c r="B51" s="369" t="s">
        <v>1072</v>
      </c>
      <c r="C51" s="370"/>
      <c r="D51" s="370"/>
      <c r="E51" s="370"/>
      <c r="F51" s="370"/>
      <c r="G51" s="371"/>
      <c r="H51" s="360">
        <f>H40+SUM(H44:H50)</f>
        <v>168384</v>
      </c>
    </row>
    <row r="52" spans="1:10" customFormat="1" ht="12.75" customHeight="1" x14ac:dyDescent="0.25">
      <c r="A52" s="323"/>
      <c r="B52" s="382"/>
      <c r="C52" s="383"/>
      <c r="D52" s="383"/>
      <c r="E52" s="383"/>
      <c r="F52" s="383"/>
      <c r="G52" s="384"/>
      <c r="H52" s="359"/>
    </row>
    <row r="53" spans="1:10" customFormat="1" ht="12.75" customHeight="1" x14ac:dyDescent="0.25">
      <c r="A53" s="323">
        <v>5</v>
      </c>
      <c r="B53" s="299" t="s">
        <v>630</v>
      </c>
      <c r="C53" s="300"/>
      <c r="D53" s="300"/>
      <c r="E53" s="300"/>
      <c r="F53" s="300"/>
      <c r="G53" s="308"/>
      <c r="H53" s="358">
        <v>14593</v>
      </c>
    </row>
    <row r="54" spans="1:10" customFormat="1" ht="12.75" customHeight="1" x14ac:dyDescent="0.25">
      <c r="A54" s="323"/>
      <c r="B54" s="382"/>
      <c r="C54" s="383"/>
      <c r="D54" s="383"/>
      <c r="E54" s="383"/>
      <c r="F54" s="383"/>
      <c r="G54" s="384"/>
      <c r="H54" s="359"/>
    </row>
    <row r="55" spans="1:10" customFormat="1" ht="12.75" customHeight="1" x14ac:dyDescent="0.25">
      <c r="A55" s="323">
        <v>6</v>
      </c>
      <c r="B55" s="245" t="s">
        <v>1073</v>
      </c>
      <c r="C55" s="246"/>
      <c r="D55" s="246"/>
      <c r="E55" s="246"/>
      <c r="F55" s="246"/>
      <c r="G55" s="247"/>
      <c r="H55" s="360">
        <f>H6+H8+H34+H51+H53</f>
        <v>961348</v>
      </c>
    </row>
    <row r="56" spans="1:10" customFormat="1" ht="12.75" customHeight="1" x14ac:dyDescent="0.25">
      <c r="A56" s="323"/>
      <c r="B56" s="382"/>
      <c r="C56" s="383"/>
      <c r="D56" s="383"/>
      <c r="E56" s="383"/>
      <c r="F56" s="383"/>
      <c r="G56" s="384"/>
      <c r="H56" s="359"/>
    </row>
    <row r="57" spans="1:10" customFormat="1" ht="12.75" customHeight="1" x14ac:dyDescent="0.25">
      <c r="A57" s="323">
        <v>7</v>
      </c>
      <c r="B57" s="325" t="s">
        <v>632</v>
      </c>
      <c r="C57" s="325"/>
      <c r="D57" s="325"/>
      <c r="E57" s="325"/>
      <c r="F57" s="325"/>
      <c r="G57" s="325"/>
      <c r="H57" s="412"/>
    </row>
    <row r="58" spans="1:10" x14ac:dyDescent="0.2">
      <c r="A58" s="323" t="s">
        <v>752</v>
      </c>
      <c r="B58" s="11"/>
      <c r="C58" s="336" t="s">
        <v>1074</v>
      </c>
      <c r="D58" s="335"/>
      <c r="E58" s="335"/>
      <c r="F58" s="335"/>
      <c r="G58" s="20"/>
      <c r="H58" s="358">
        <v>1394</v>
      </c>
    </row>
    <row r="59" spans="1:10" x14ac:dyDescent="0.2">
      <c r="A59" s="323" t="s">
        <v>753</v>
      </c>
      <c r="B59" s="11"/>
      <c r="C59" s="336" t="s">
        <v>1075</v>
      </c>
      <c r="D59" s="335"/>
      <c r="E59" s="335"/>
      <c r="F59" s="335"/>
      <c r="G59" s="20"/>
      <c r="H59" s="358">
        <v>19611</v>
      </c>
    </row>
    <row r="60" spans="1:10" x14ac:dyDescent="0.2">
      <c r="A60" s="323" t="s">
        <v>754</v>
      </c>
      <c r="B60" s="11"/>
      <c r="C60" s="336" t="s">
        <v>1076</v>
      </c>
      <c r="D60" s="335"/>
      <c r="E60" s="335"/>
      <c r="F60" s="335"/>
      <c r="G60" s="20"/>
      <c r="H60" s="358">
        <v>2084</v>
      </c>
    </row>
    <row r="61" spans="1:10" x14ac:dyDescent="0.2">
      <c r="A61" s="323" t="s">
        <v>755</v>
      </c>
      <c r="B61" s="245" t="s">
        <v>1077</v>
      </c>
      <c r="C61" s="386"/>
      <c r="D61" s="386"/>
      <c r="E61" s="386"/>
      <c r="F61" s="386"/>
      <c r="G61" s="247"/>
      <c r="H61" s="360">
        <f>SUM(H58:H60)</f>
        <v>23089</v>
      </c>
    </row>
    <row r="62" spans="1:10" customFormat="1" ht="12.75" customHeight="1" x14ac:dyDescent="0.25">
      <c r="A62" s="323"/>
      <c r="B62" s="382"/>
      <c r="C62" s="383"/>
      <c r="D62" s="383"/>
      <c r="E62" s="383"/>
      <c r="F62" s="383"/>
      <c r="G62" s="384"/>
      <c r="H62" s="359"/>
    </row>
    <row r="63" spans="1:10" x14ac:dyDescent="0.2">
      <c r="A63" s="323">
        <v>8</v>
      </c>
      <c r="B63" s="304" t="s">
        <v>634</v>
      </c>
      <c r="C63" s="413"/>
      <c r="D63" s="413"/>
      <c r="E63" s="413"/>
      <c r="F63" s="413"/>
      <c r="G63" s="413"/>
      <c r="H63" s="360">
        <f>H55+H61</f>
        <v>984437</v>
      </c>
      <c r="J63" s="143"/>
    </row>
    <row r="64" spans="1:10" customFormat="1" ht="12.75" customHeight="1" x14ac:dyDescent="0.25"/>
    <row r="65" customFormat="1" ht="12.75" customHeight="1" x14ac:dyDescent="0.25"/>
    <row r="66" customFormat="1" ht="12.75" customHeight="1" x14ac:dyDescent="0.25"/>
  </sheetData>
  <sheetProtection algorithmName="SHA-512" hashValue="hriWXBjsMUmLtSzfMGPoNzyIJaiupb31EZW7Q79MeLxfoQg/bG2mMzSTacBzUv8cEliSiIqR5nhfj39e8IBolw==" saltValue="b0VM0+0yzlvfsyM/DC5L7Q==" spinCount="100000" sheet="1" objects="1" scenarios="1"/>
  <dataValidations count="7">
    <dataValidation type="whole" operator="greaterThan" allowBlank="1" showInputMessage="1" showErrorMessage="1" errorTitle="Whole numbers only allowed" error="All monies should be independently rounded to the nearest £1,000." sqref="H38">
      <formula1>-999999999</formula1>
    </dataValidation>
    <dataValidation type="whole" operator="greaterThan" allowBlank="1" showInputMessage="1" showErrorMessage="1" errorTitle="Whole numbers only allowed" error="All monies should be independently rounded to the nearest £1,000." sqref="H39">
      <formula1>-999999999</formula1>
    </dataValidation>
    <dataValidation type="whole" operator="greaterThan" allowBlank="1" showInputMessage="1" showErrorMessage="1" errorTitle="Whole numbers only allowed" error="All monies should be independently rounded to the nearest £1,000." sqref="H42">
      <formula1>-999999999</formula1>
    </dataValidation>
    <dataValidation type="whole" operator="greaterThan" allowBlank="1" showInputMessage="1" showErrorMessage="1" errorTitle="Whole numbers only allowed" error="All monies should be independently rounded to the nearest £1,000." sqref="H43">
      <formula1>-999999999</formula1>
    </dataValidation>
    <dataValidation type="whole" operator="greaterThan" allowBlank="1" showInputMessage="1" showErrorMessage="1" errorTitle="Whole numbers only allowed" error="All monies should be independently rounded to the nearest £1,000." sqref="H45:H50">
      <formula1>-999999999</formula1>
    </dataValidation>
    <dataValidation type="whole" operator="greaterThan" allowBlank="1" showInputMessage="1" showErrorMessage="1" errorTitle="Whole numbers only allowed" error="All monies should be independently rounded to the nearest £1,000." sqref="H53">
      <formula1>-999999999</formula1>
    </dataValidation>
    <dataValidation type="whole" operator="greaterThan" allowBlank="1" showInputMessage="1" showErrorMessage="1" errorTitle="Whole numbers only allowed" error="All monies should be independently rounded to the nearest £1,000." sqref="H58:H60">
      <formula1>-999999999</formula1>
    </dataValidation>
  </dataValidations>
  <printOptions headings="1"/>
  <pageMargins left="0.70866141732283472" right="0.70866141732283472" top="0.74803149606299213" bottom="0.74803149606299213" header="0.31496062992125984" footer="0.31496062992125984"/>
  <pageSetup paperSize="9" scale="7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12"/>
  <sheetViews>
    <sheetView zoomScaleNormal="100" workbookViewId="0"/>
  </sheetViews>
  <sheetFormatPr defaultColWidth="9.140625" defaultRowHeight="15" x14ac:dyDescent="0.25"/>
  <cols>
    <col min="1" max="1" width="12.85546875" style="44" bestFit="1" customWidth="1"/>
    <col min="2" max="2" width="3.140625" style="44" customWidth="1"/>
    <col min="3" max="3" width="53.28515625" style="44" customWidth="1"/>
    <col min="4" max="4" width="2.140625" style="44" hidden="1" customWidth="1"/>
    <col min="5" max="7" width="1.7109375" style="44" hidden="1" customWidth="1"/>
    <col min="8" max="8" width="9.140625" style="44" customWidth="1"/>
    <col min="9" max="16384" width="9.140625" style="44"/>
  </cols>
  <sheetData>
    <row r="1" spans="1:8" customFormat="1" ht="15.4" customHeight="1" x14ac:dyDescent="0.25">
      <c r="A1" s="390" t="s">
        <v>1078</v>
      </c>
      <c r="B1" s="391" t="s">
        <v>1079</v>
      </c>
      <c r="C1" s="391"/>
      <c r="D1" s="391"/>
      <c r="E1" s="391"/>
      <c r="F1" s="391"/>
      <c r="G1" s="391"/>
      <c r="H1" s="414"/>
    </row>
    <row r="2" spans="1:8" customFormat="1" ht="15.4" hidden="1" customHeight="1" x14ac:dyDescent="0.25">
      <c r="A2" s="415"/>
      <c r="B2" s="416"/>
      <c r="C2" s="416"/>
      <c r="D2" s="416"/>
      <c r="E2" s="416"/>
      <c r="F2" s="416"/>
      <c r="G2" s="416"/>
      <c r="H2" s="417"/>
    </row>
    <row r="3" spans="1:8" customFormat="1" ht="9" hidden="1" customHeight="1" x14ac:dyDescent="0.25">
      <c r="A3" s="415"/>
      <c r="B3" s="416"/>
      <c r="C3" s="416"/>
      <c r="D3" s="416"/>
      <c r="E3" s="416"/>
      <c r="F3" s="416"/>
      <c r="G3" s="416"/>
      <c r="H3" s="417"/>
    </row>
    <row r="4" spans="1:8" customFormat="1" ht="15.4" customHeight="1" x14ac:dyDescent="0.25">
      <c r="A4" s="418"/>
      <c r="B4" s="419"/>
      <c r="C4" s="419"/>
      <c r="D4" s="419"/>
      <c r="E4" s="419"/>
      <c r="F4" s="419"/>
      <c r="G4" s="420"/>
      <c r="H4" s="265" t="s">
        <v>616</v>
      </c>
    </row>
    <row r="5" spans="1:8" s="143" customFormat="1" ht="12.4" customHeight="1" x14ac:dyDescent="0.2">
      <c r="A5" s="421"/>
      <c r="B5" s="422" t="s">
        <v>1080</v>
      </c>
      <c r="C5" s="423"/>
      <c r="D5" s="423"/>
      <c r="E5" s="423"/>
      <c r="F5" s="423"/>
      <c r="G5" s="424"/>
      <c r="H5" s="425"/>
    </row>
    <row r="6" spans="1:8" s="143" customFormat="1" ht="12.4" customHeight="1" x14ac:dyDescent="0.2">
      <c r="A6" s="162" t="s">
        <v>621</v>
      </c>
      <c r="B6" s="300" t="s">
        <v>1081</v>
      </c>
      <c r="C6" s="300"/>
      <c r="D6" s="300"/>
      <c r="E6" s="426"/>
      <c r="F6" s="426"/>
      <c r="G6" s="427"/>
      <c r="H6" s="358">
        <v>0</v>
      </c>
    </row>
    <row r="7" spans="1:8" s="143" customFormat="1" ht="12.4" customHeight="1" x14ac:dyDescent="0.2">
      <c r="A7" s="162" t="s">
        <v>623</v>
      </c>
      <c r="B7" s="300" t="s">
        <v>1082</v>
      </c>
      <c r="C7" s="300"/>
      <c r="D7" s="300"/>
      <c r="E7" s="426"/>
      <c r="F7" s="426"/>
      <c r="G7" s="427"/>
      <c r="H7" s="358">
        <v>0</v>
      </c>
    </row>
    <row r="8" spans="1:8" s="143" customFormat="1" ht="12.4" customHeight="1" x14ac:dyDescent="0.2">
      <c r="A8" s="162" t="s">
        <v>625</v>
      </c>
      <c r="B8" s="300" t="s">
        <v>1083</v>
      </c>
      <c r="C8" s="300"/>
      <c r="D8" s="300"/>
      <c r="E8" s="426"/>
      <c r="F8" s="426"/>
      <c r="G8" s="427"/>
      <c r="H8" s="358">
        <v>0</v>
      </c>
    </row>
    <row r="9" spans="1:8" s="143" customFormat="1" ht="12.4" customHeight="1" x14ac:dyDescent="0.2">
      <c r="A9" s="162" t="s">
        <v>627</v>
      </c>
      <c r="B9" s="300" t="s">
        <v>1084</v>
      </c>
      <c r="C9" s="300"/>
      <c r="D9" s="426"/>
      <c r="E9" s="426"/>
      <c r="F9" s="426"/>
      <c r="G9" s="269"/>
      <c r="H9" s="358">
        <v>0</v>
      </c>
    </row>
    <row r="10" spans="1:8" s="143" customFormat="1" ht="12.4" customHeight="1" x14ac:dyDescent="0.2">
      <c r="A10" s="162" t="s">
        <v>629</v>
      </c>
      <c r="B10" s="300" t="s">
        <v>1085</v>
      </c>
      <c r="C10" s="300"/>
      <c r="D10" s="426"/>
      <c r="E10" s="426"/>
      <c r="F10" s="426"/>
      <c r="G10" s="269"/>
      <c r="H10" s="358">
        <v>0</v>
      </c>
    </row>
    <row r="11" spans="1:8" s="143" customFormat="1" ht="12.4" customHeight="1" x14ac:dyDescent="0.2">
      <c r="A11" s="162" t="s">
        <v>631</v>
      </c>
      <c r="B11" s="300" t="s">
        <v>1066</v>
      </c>
      <c r="C11" s="300"/>
      <c r="D11" s="426"/>
      <c r="E11" s="426"/>
      <c r="F11" s="426"/>
      <c r="G11" s="269"/>
      <c r="H11" s="358">
        <v>0</v>
      </c>
    </row>
    <row r="12" spans="1:8" s="143" customFormat="1" ht="12.4" customHeight="1" x14ac:dyDescent="0.2">
      <c r="A12" s="162" t="s">
        <v>633</v>
      </c>
      <c r="B12" s="304" t="s">
        <v>1086</v>
      </c>
      <c r="C12" s="305"/>
      <c r="D12" s="305"/>
      <c r="E12" s="305"/>
      <c r="F12" s="305"/>
      <c r="G12" s="306"/>
      <c r="H12" s="428">
        <f>SUM(H6:H11)</f>
        <v>0</v>
      </c>
    </row>
  </sheetData>
  <sheetProtection algorithmName="SHA-512" hashValue="r7WcY4Id1sQUF3pSrwrXDpBbjUptbtJsYDJLC5T2bHlocWRUm7GYnvQ9WGV+y9ecgDZg3hBWB043yFO41ycA+g==" saltValue="R/X92RNLxi3ZEboTlKMCrg==" spinCount="100000" sheet="1" objects="1" scenarios="1"/>
  <dataValidations count="1">
    <dataValidation type="whole" operator="greaterThan" allowBlank="1" showInputMessage="1" showErrorMessage="1" errorTitle="Whole numbers only allowed" error="All monies should be independently rounded to the nearest £1,000." sqref="H6:H11">
      <formula1>-999999999</formula1>
    </dataValidation>
  </dataValidations>
  <printOptions headings="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zoomScaleNormal="100" workbookViewId="0"/>
  </sheetViews>
  <sheetFormatPr defaultColWidth="9.140625" defaultRowHeight="15" x14ac:dyDescent="0.25"/>
  <cols>
    <col min="1" max="1" width="13.5703125" style="44" bestFit="1" customWidth="1"/>
    <col min="2" max="2" width="1.7109375" style="44" customWidth="1"/>
    <col min="3" max="3" width="78.7109375" style="44" customWidth="1"/>
    <col min="4" max="4" width="7" style="44" hidden="1" customWidth="1"/>
    <col min="5" max="5" width="7.28515625" style="44" hidden="1" customWidth="1"/>
    <col min="6" max="6" width="6.7109375" style="44" hidden="1" customWidth="1"/>
    <col min="7" max="7" width="7.85546875" style="44" hidden="1" customWidth="1"/>
    <col min="8" max="8" width="9.140625" style="44" customWidth="1"/>
    <col min="9" max="16384" width="9.140625" style="44"/>
  </cols>
  <sheetData>
    <row r="1" spans="1:10" customFormat="1" ht="15.75" customHeight="1" x14ac:dyDescent="0.25">
      <c r="A1" s="390" t="s">
        <v>1087</v>
      </c>
      <c r="B1" s="391" t="s">
        <v>1088</v>
      </c>
      <c r="C1" s="391"/>
      <c r="D1" s="391"/>
      <c r="E1" s="391"/>
      <c r="F1" s="391"/>
      <c r="G1" s="391"/>
      <c r="H1" s="414"/>
      <c r="J1" s="143"/>
    </row>
    <row r="2" spans="1:10" customFormat="1" ht="15.4" hidden="1" customHeight="1" x14ac:dyDescent="0.25">
      <c r="A2" s="415"/>
      <c r="B2" s="416"/>
      <c r="C2" s="416"/>
      <c r="D2" s="416"/>
      <c r="E2" s="416"/>
      <c r="F2" s="416"/>
      <c r="G2" s="416"/>
      <c r="H2" s="416"/>
      <c r="J2" s="429"/>
    </row>
    <row r="3" spans="1:10" customFormat="1" ht="15.4" hidden="1" customHeight="1" x14ac:dyDescent="0.25">
      <c r="A3" s="416"/>
      <c r="B3" s="416"/>
      <c r="C3" s="416"/>
      <c r="D3" s="416"/>
      <c r="E3" s="416"/>
      <c r="F3" s="416"/>
      <c r="G3" s="416"/>
      <c r="H3" s="416"/>
    </row>
    <row r="4" spans="1:10" s="143" customFormat="1" ht="15.4" customHeight="1" x14ac:dyDescent="0.25">
      <c r="A4" s="418"/>
      <c r="B4" s="419"/>
      <c r="C4" s="419"/>
      <c r="D4" s="419"/>
      <c r="E4" s="419"/>
      <c r="F4" s="419"/>
      <c r="G4" s="419"/>
      <c r="H4" s="265" t="s">
        <v>616</v>
      </c>
    </row>
    <row r="5" spans="1:10" s="143" customFormat="1" ht="12.4" customHeight="1" x14ac:dyDescent="0.2">
      <c r="A5" s="266"/>
      <c r="B5" s="422" t="s">
        <v>1089</v>
      </c>
      <c r="C5" s="297"/>
      <c r="D5" s="297"/>
      <c r="E5" s="297"/>
      <c r="F5" s="297"/>
      <c r="G5" s="298"/>
      <c r="H5" s="430"/>
    </row>
    <row r="6" spans="1:10" s="143" customFormat="1" ht="12.4" customHeight="1" x14ac:dyDescent="0.2">
      <c r="A6" s="162" t="s">
        <v>621</v>
      </c>
      <c r="B6" s="312" t="s">
        <v>1090</v>
      </c>
      <c r="C6" s="312"/>
      <c r="D6" s="312"/>
      <c r="E6" s="301"/>
      <c r="F6" s="301"/>
      <c r="G6" s="302"/>
      <c r="H6" s="358">
        <v>0</v>
      </c>
    </row>
    <row r="7" spans="1:10" s="143" customFormat="1" ht="12.4" customHeight="1" x14ac:dyDescent="0.2">
      <c r="A7" s="162" t="s">
        <v>623</v>
      </c>
      <c r="B7" s="312" t="s">
        <v>1091</v>
      </c>
      <c r="C7" s="312"/>
      <c r="D7" s="312"/>
      <c r="E7" s="301"/>
      <c r="F7" s="301"/>
      <c r="G7" s="427"/>
      <c r="H7" s="358">
        <v>0</v>
      </c>
    </row>
    <row r="8" spans="1:10" s="143" customFormat="1" ht="12.4" customHeight="1" x14ac:dyDescent="0.2">
      <c r="A8" s="162" t="s">
        <v>625</v>
      </c>
      <c r="B8" s="312" t="s">
        <v>1092</v>
      </c>
      <c r="C8" s="312"/>
      <c r="D8" s="312"/>
      <c r="E8" s="301"/>
      <c r="F8" s="301"/>
      <c r="G8" s="427"/>
      <c r="H8" s="358">
        <v>0</v>
      </c>
    </row>
    <row r="9" spans="1:10" s="143" customFormat="1" ht="12.4" customHeight="1" x14ac:dyDescent="0.2">
      <c r="A9" s="162" t="s">
        <v>627</v>
      </c>
      <c r="B9" s="312" t="s">
        <v>1093</v>
      </c>
      <c r="C9" s="312"/>
      <c r="D9" s="312"/>
      <c r="E9" s="301"/>
      <c r="F9" s="301"/>
      <c r="G9" s="427"/>
      <c r="H9" s="358">
        <v>0</v>
      </c>
    </row>
    <row r="10" spans="1:10" s="143" customFormat="1" ht="12.4" customHeight="1" x14ac:dyDescent="0.2">
      <c r="A10" s="162" t="s">
        <v>629</v>
      </c>
      <c r="B10" s="312" t="s">
        <v>1094</v>
      </c>
      <c r="C10" s="312"/>
      <c r="D10" s="312"/>
      <c r="E10" s="301"/>
      <c r="F10" s="301"/>
      <c r="G10" s="427"/>
      <c r="H10" s="358">
        <v>0</v>
      </c>
    </row>
    <row r="11" spans="1:10" s="143" customFormat="1" ht="12.4" customHeight="1" x14ac:dyDescent="0.2">
      <c r="A11" s="162" t="s">
        <v>631</v>
      </c>
      <c r="B11" s="312" t="s">
        <v>1095</v>
      </c>
      <c r="C11" s="312"/>
      <c r="D11" s="312"/>
      <c r="E11" s="301"/>
      <c r="F11" s="301"/>
      <c r="G11" s="431"/>
      <c r="H11" s="358">
        <v>0</v>
      </c>
    </row>
    <row r="12" spans="1:10" s="143" customFormat="1" ht="12.4" customHeight="1" x14ac:dyDescent="0.2">
      <c r="A12" s="162" t="s">
        <v>633</v>
      </c>
      <c r="B12" s="312" t="s">
        <v>1096</v>
      </c>
      <c r="C12" s="312"/>
      <c r="D12" s="312"/>
      <c r="E12" s="301"/>
      <c r="F12" s="301"/>
      <c r="G12" s="431"/>
      <c r="H12" s="358">
        <v>0</v>
      </c>
    </row>
    <row r="13" spans="1:10" s="143" customFormat="1" ht="12.4" customHeight="1" x14ac:dyDescent="0.2">
      <c r="A13" s="162" t="s">
        <v>723</v>
      </c>
      <c r="B13" s="312" t="s">
        <v>1097</v>
      </c>
      <c r="C13" s="312"/>
      <c r="D13" s="312"/>
      <c r="E13" s="301"/>
      <c r="F13" s="301"/>
      <c r="G13" s="431"/>
      <c r="H13" s="358">
        <v>0</v>
      </c>
    </row>
    <row r="14" spans="1:10" s="143" customFormat="1" ht="12.4" customHeight="1" x14ac:dyDescent="0.2">
      <c r="A14" s="162" t="s">
        <v>725</v>
      </c>
      <c r="B14" s="312" t="s">
        <v>1098</v>
      </c>
      <c r="C14" s="312"/>
      <c r="D14" s="301"/>
      <c r="E14" s="301"/>
      <c r="F14" s="301"/>
      <c r="G14" s="269"/>
      <c r="H14" s="358">
        <v>0</v>
      </c>
    </row>
    <row r="15" spans="1:10" s="143" customFormat="1" ht="12.4" customHeight="1" x14ac:dyDescent="0.2">
      <c r="A15" s="162" t="s">
        <v>727</v>
      </c>
      <c r="B15" s="304" t="s">
        <v>1086</v>
      </c>
      <c r="C15" s="305"/>
      <c r="D15" s="305"/>
      <c r="E15" s="305"/>
      <c r="F15" s="305"/>
      <c r="G15" s="306"/>
      <c r="H15" s="428">
        <f>SUM(H6:H14)</f>
        <v>0</v>
      </c>
    </row>
    <row r="16" spans="1:10" x14ac:dyDescent="0.25">
      <c r="A16" s="162">
        <v>2</v>
      </c>
      <c r="B16" s="432" t="s">
        <v>1099</v>
      </c>
      <c r="C16" s="433"/>
      <c r="D16" s="434"/>
      <c r="E16" s="434"/>
      <c r="F16" s="434"/>
      <c r="G16" s="434"/>
      <c r="H16" s="358">
        <v>0</v>
      </c>
    </row>
  </sheetData>
  <sheetProtection algorithmName="SHA-512" hashValue="7iKVuwKlwce28Ns3GVz1o7hKreUnTNFlGB/x0W1tiia07FSxpKf6oeNTsmLwqKGB8iHErM0n8NnxhEZsqzSFVQ==" saltValue="iqvZHr6scNEt2NhQmWdJPw==" spinCount="100000" sheet="1" objects="1" scenarios="1"/>
  <dataValidations count="1">
    <dataValidation type="whole" operator="greaterThan" allowBlank="1" showInputMessage="1" showErrorMessage="1" errorTitle="Whole numbers only allowed" error="All monies should be independently rounded to the nearest £1,000." sqref="H6:H14">
      <formula1>-999999999</formula1>
    </dataValidation>
  </dataValidations>
  <printOptions headings="1"/>
  <pageMargins left="0.70866141732283472" right="0.70866141732283472" top="0.74803149606299213" bottom="0.74803149606299213" header="0.31496062992125984" footer="0.31496062992125984"/>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15"/>
  <sheetViews>
    <sheetView zoomScaleNormal="100" workbookViewId="0">
      <selection activeCell="H6" sqref="H6:H11"/>
    </sheetView>
  </sheetViews>
  <sheetFormatPr defaultColWidth="9.140625" defaultRowHeight="15" x14ac:dyDescent="0.25"/>
  <cols>
    <col min="1" max="1" width="12.85546875" style="44" bestFit="1" customWidth="1"/>
    <col min="2" max="2" width="2.85546875" style="44" customWidth="1"/>
    <col min="3" max="3" width="43.28515625" style="44" customWidth="1"/>
    <col min="4" max="7" width="2.28515625" style="44" hidden="1" customWidth="1"/>
    <col min="8" max="8" width="15.7109375" style="44" customWidth="1"/>
    <col min="9" max="9" width="15" style="44" customWidth="1"/>
    <col min="10" max="10" width="15.140625" style="44" customWidth="1"/>
    <col min="11" max="11" width="16" style="44" customWidth="1"/>
    <col min="12" max="12" width="15.28515625" style="44" customWidth="1"/>
    <col min="13" max="13" width="15.7109375" style="44" customWidth="1"/>
    <col min="14" max="14" width="9.140625" style="44" customWidth="1"/>
    <col min="15" max="16384" width="9.140625" style="44"/>
  </cols>
  <sheetData>
    <row r="1" spans="1:11" customFormat="1" ht="15.4" customHeight="1" x14ac:dyDescent="0.25">
      <c r="A1" s="390" t="s">
        <v>1100</v>
      </c>
      <c r="B1" s="391" t="s">
        <v>1101</v>
      </c>
      <c r="C1" s="391"/>
      <c r="D1" s="391"/>
      <c r="E1" s="391"/>
      <c r="F1" s="391"/>
      <c r="G1" s="391"/>
      <c r="H1" s="414"/>
      <c r="I1" s="435"/>
      <c r="J1" s="143"/>
      <c r="K1" s="143"/>
    </row>
    <row r="2" spans="1:11" customFormat="1" ht="15.4" hidden="1" customHeight="1" x14ac:dyDescent="0.25">
      <c r="A2" s="415"/>
      <c r="B2" s="416"/>
      <c r="C2" s="416"/>
      <c r="D2" s="416"/>
      <c r="E2" s="416"/>
      <c r="F2" s="416"/>
      <c r="G2" s="416"/>
      <c r="H2" s="417"/>
      <c r="I2" s="435"/>
      <c r="J2" s="143"/>
      <c r="K2" s="143"/>
    </row>
    <row r="3" spans="1:11" customFormat="1" ht="12.75" hidden="1" customHeight="1" x14ac:dyDescent="0.25">
      <c r="A3" s="415"/>
      <c r="B3" s="416"/>
      <c r="C3" s="416"/>
      <c r="D3" s="416"/>
      <c r="E3" s="416"/>
      <c r="F3" s="416"/>
      <c r="G3" s="416"/>
      <c r="H3" s="417"/>
      <c r="I3" s="44"/>
      <c r="J3" s="44"/>
    </row>
    <row r="4" spans="1:11" customFormat="1" ht="15.4" customHeight="1" x14ac:dyDescent="0.25">
      <c r="A4" s="418"/>
      <c r="B4" s="419"/>
      <c r="C4" s="419"/>
      <c r="D4" s="419"/>
      <c r="E4" s="419"/>
      <c r="F4" s="419"/>
      <c r="G4" s="419"/>
      <c r="H4" s="265" t="s">
        <v>616</v>
      </c>
      <c r="I4" s="44"/>
    </row>
    <row r="5" spans="1:11" customFormat="1" ht="12.75" customHeight="1" x14ac:dyDescent="0.25">
      <c r="A5" s="421">
        <v>1</v>
      </c>
      <c r="B5" s="422" t="s">
        <v>1102</v>
      </c>
      <c r="C5" s="423"/>
      <c r="D5" s="423"/>
      <c r="E5" s="423"/>
      <c r="F5" s="423"/>
      <c r="G5" s="423"/>
      <c r="H5" s="436"/>
      <c r="I5" s="143"/>
      <c r="J5" s="143"/>
    </row>
    <row r="6" spans="1:11" customFormat="1" ht="12.75" customHeight="1" x14ac:dyDescent="0.25">
      <c r="A6" s="162" t="s">
        <v>621</v>
      </c>
      <c r="B6" s="300" t="s">
        <v>1103</v>
      </c>
      <c r="C6" s="300"/>
      <c r="D6" s="426"/>
      <c r="E6" s="426"/>
      <c r="F6" s="426"/>
      <c r="G6" s="269"/>
      <c r="H6" s="358">
        <v>65608</v>
      </c>
      <c r="I6" s="143"/>
      <c r="J6" s="143"/>
    </row>
    <row r="7" spans="1:11" customFormat="1" ht="12.75" customHeight="1" x14ac:dyDescent="0.25">
      <c r="A7" s="162" t="s">
        <v>623</v>
      </c>
      <c r="B7" s="300" t="s">
        <v>1104</v>
      </c>
      <c r="C7" s="300"/>
      <c r="D7" s="426"/>
      <c r="E7" s="426"/>
      <c r="F7" s="426"/>
      <c r="G7" s="269"/>
      <c r="H7" s="358">
        <v>85359</v>
      </c>
      <c r="I7" s="143"/>
      <c r="J7" s="143"/>
    </row>
    <row r="8" spans="1:11" customFormat="1" ht="12.75" customHeight="1" x14ac:dyDescent="0.25">
      <c r="A8" s="162" t="s">
        <v>625</v>
      </c>
      <c r="B8" s="300" t="s">
        <v>1105</v>
      </c>
      <c r="C8" s="300"/>
      <c r="D8" s="426"/>
      <c r="E8" s="426"/>
      <c r="F8" s="426"/>
      <c r="G8" s="269"/>
      <c r="H8" s="358">
        <v>0</v>
      </c>
      <c r="I8" s="143"/>
      <c r="J8" s="143"/>
    </row>
    <row r="9" spans="1:11" customFormat="1" ht="12.75" customHeight="1" x14ac:dyDescent="0.25">
      <c r="A9" s="162" t="s">
        <v>627</v>
      </c>
      <c r="B9" s="300" t="s">
        <v>1106</v>
      </c>
      <c r="C9" s="300"/>
      <c r="D9" s="426"/>
      <c r="E9" s="426"/>
      <c r="F9" s="426"/>
      <c r="G9" s="269"/>
      <c r="H9" s="358">
        <v>12802</v>
      </c>
      <c r="I9" s="143"/>
      <c r="J9" s="143"/>
    </row>
    <row r="10" spans="1:11" customFormat="1" ht="12.75" customHeight="1" x14ac:dyDescent="0.25">
      <c r="A10" s="162" t="s">
        <v>629</v>
      </c>
      <c r="B10" s="300" t="s">
        <v>1107</v>
      </c>
      <c r="C10" s="300"/>
      <c r="D10" s="426"/>
      <c r="E10" s="426"/>
      <c r="F10" s="426"/>
      <c r="G10" s="269"/>
      <c r="H10" s="358">
        <v>16708</v>
      </c>
      <c r="I10" s="143"/>
      <c r="J10" s="143"/>
    </row>
    <row r="11" spans="1:11" customFormat="1" ht="12.75" customHeight="1" x14ac:dyDescent="0.25">
      <c r="A11" s="162" t="s">
        <v>631</v>
      </c>
      <c r="B11" s="300" t="s">
        <v>1066</v>
      </c>
      <c r="C11" s="300"/>
      <c r="D11" s="426"/>
      <c r="E11" s="426"/>
      <c r="F11" s="426"/>
      <c r="G11" s="269"/>
      <c r="H11" s="358">
        <v>6175</v>
      </c>
      <c r="I11" s="143"/>
      <c r="J11" s="143"/>
    </row>
    <row r="12" spans="1:11" customFormat="1" ht="12.75" customHeight="1" x14ac:dyDescent="0.25">
      <c r="A12" s="162" t="s">
        <v>633</v>
      </c>
      <c r="B12" s="300" t="s">
        <v>1108</v>
      </c>
      <c r="C12" s="300"/>
      <c r="D12" s="426"/>
      <c r="E12" s="426"/>
      <c r="F12" s="426"/>
      <c r="G12" s="269"/>
      <c r="H12" s="358">
        <v>0</v>
      </c>
      <c r="I12" s="143"/>
      <c r="J12" s="143"/>
    </row>
    <row r="13" spans="1:11" customFormat="1" ht="12.75" customHeight="1" x14ac:dyDescent="0.25">
      <c r="A13" s="162" t="s">
        <v>723</v>
      </c>
      <c r="B13" s="304" t="s">
        <v>1086</v>
      </c>
      <c r="C13" s="305"/>
      <c r="D13" s="305"/>
      <c r="E13" s="305"/>
      <c r="F13" s="305"/>
      <c r="G13" s="306"/>
      <c r="H13" s="428">
        <f>SUM(H6:H12)</f>
        <v>186652</v>
      </c>
      <c r="I13" s="143"/>
      <c r="J13" s="143"/>
    </row>
    <row r="14" spans="1:11" customFormat="1" ht="12.75" customHeight="1" x14ac:dyDescent="0.25">
      <c r="A14" s="199"/>
    </row>
    <row r="15" spans="1:11" customFormat="1" ht="12.75" customHeight="1" x14ac:dyDescent="0.25">
      <c r="B15" s="437"/>
      <c r="C15" s="437"/>
      <c r="D15" s="437"/>
      <c r="E15" s="437"/>
      <c r="F15" s="437"/>
      <c r="G15" s="437"/>
    </row>
  </sheetData>
  <sheetProtection algorithmName="SHA-512" hashValue="/4qTXcv+yLwetOMOXOX7mJTtHjGrc+npdPFdxIBytguH/qW4c5HdPI79etMD3HWt6y26u62e2k28g3/NppQEIw==" saltValue="3BMNXSumwG0QlzUokSvuzg==" spinCount="100000" sheet="1" objects="1" scenarios="1"/>
  <dataValidations count="1">
    <dataValidation type="whole" operator="greaterThan" allowBlank="1" showInputMessage="1" showErrorMessage="1" errorTitle="Whole numbers only allowed" error="All monies should be independently rounded to the nearest £1,000." sqref="H6:H12">
      <formula1>-99999999</formula1>
    </dataValidation>
  </dataValidations>
  <printOptions headings="1"/>
  <pageMargins left="0.70866141732283472" right="0.70866141732283472" top="0.74803149606299213" bottom="0.74803149606299213" header="0.31496062992125984" footer="0.31496062992125984"/>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11"/>
  <sheetViews>
    <sheetView zoomScaleNormal="100" workbookViewId="0"/>
  </sheetViews>
  <sheetFormatPr defaultColWidth="9.140625" defaultRowHeight="15" x14ac:dyDescent="0.25"/>
  <cols>
    <col min="1" max="1" width="13.7109375" style="44" bestFit="1" customWidth="1"/>
    <col min="2" max="2" width="2.85546875" style="44" customWidth="1"/>
    <col min="3" max="3" width="52.140625" style="44" customWidth="1"/>
    <col min="4" max="4" width="2.28515625" style="44" hidden="1" customWidth="1"/>
    <col min="5" max="7" width="2.5703125" style="44" hidden="1" customWidth="1"/>
    <col min="8" max="8" width="9.140625" style="44" customWidth="1"/>
    <col min="9" max="16384" width="9.140625" style="44"/>
  </cols>
  <sheetData>
    <row r="1" spans="1:10" customFormat="1" ht="15.4" customHeight="1" x14ac:dyDescent="0.25">
      <c r="A1" s="390" t="s">
        <v>1109</v>
      </c>
      <c r="B1" s="391" t="s">
        <v>1110</v>
      </c>
      <c r="C1" s="391"/>
      <c r="D1" s="391"/>
      <c r="E1" s="391"/>
      <c r="F1" s="391"/>
      <c r="G1" s="391"/>
      <c r="H1" s="414"/>
      <c r="J1" s="143"/>
    </row>
    <row r="2" spans="1:10" customFormat="1" ht="15.4" hidden="1" customHeight="1" x14ac:dyDescent="0.25">
      <c r="A2" s="415"/>
      <c r="B2" s="416"/>
      <c r="C2" s="416"/>
      <c r="D2" s="416"/>
      <c r="E2" s="416"/>
      <c r="F2" s="416"/>
      <c r="G2" s="416"/>
      <c r="H2" s="417"/>
      <c r="J2" s="143"/>
    </row>
    <row r="3" spans="1:10" customFormat="1" ht="17.25" hidden="1" customHeight="1" x14ac:dyDescent="0.25">
      <c r="A3" s="415"/>
      <c r="B3" s="416"/>
      <c r="C3" s="416"/>
      <c r="D3" s="416"/>
      <c r="E3" s="416"/>
      <c r="F3" s="416"/>
      <c r="G3" s="416"/>
      <c r="H3" s="417"/>
      <c r="J3" s="438"/>
    </row>
    <row r="4" spans="1:10" customFormat="1" ht="15.4" customHeight="1" x14ac:dyDescent="0.25">
      <c r="A4" s="418"/>
      <c r="B4" s="419"/>
      <c r="C4" s="419"/>
      <c r="D4" s="419"/>
      <c r="E4" s="419"/>
      <c r="F4" s="419"/>
      <c r="G4" s="420"/>
      <c r="H4" s="265" t="s">
        <v>616</v>
      </c>
      <c r="J4" s="44"/>
    </row>
    <row r="5" spans="1:10" s="143" customFormat="1" ht="12.4" customHeight="1" x14ac:dyDescent="0.2">
      <c r="A5" s="421"/>
      <c r="B5" s="422" t="s">
        <v>1111</v>
      </c>
      <c r="C5" s="423"/>
      <c r="D5" s="423"/>
      <c r="E5" s="423"/>
      <c r="F5" s="423"/>
      <c r="G5" s="424"/>
      <c r="H5" s="425"/>
    </row>
    <row r="6" spans="1:10" s="143" customFormat="1" ht="12.4" customHeight="1" x14ac:dyDescent="0.2">
      <c r="A6" s="162" t="s">
        <v>621</v>
      </c>
      <c r="B6" s="300" t="s">
        <v>1112</v>
      </c>
      <c r="C6" s="300"/>
      <c r="D6" s="300"/>
      <c r="E6" s="426"/>
      <c r="F6" s="426"/>
      <c r="G6" s="427"/>
      <c r="H6" s="358">
        <v>0</v>
      </c>
    </row>
    <row r="7" spans="1:10" s="143" customFormat="1" ht="12.4" customHeight="1" x14ac:dyDescent="0.2">
      <c r="A7" s="162" t="s">
        <v>623</v>
      </c>
      <c r="B7" s="300" t="s">
        <v>1113</v>
      </c>
      <c r="C7" s="300"/>
      <c r="D7" s="300"/>
      <c r="E7" s="426"/>
      <c r="F7" s="426"/>
      <c r="G7" s="427"/>
      <c r="H7" s="358">
        <v>0</v>
      </c>
    </row>
    <row r="8" spans="1:10" s="143" customFormat="1" ht="12.4" customHeight="1" x14ac:dyDescent="0.2">
      <c r="A8" s="162" t="s">
        <v>625</v>
      </c>
      <c r="B8" s="300" t="s">
        <v>1114</v>
      </c>
      <c r="C8" s="300"/>
      <c r="D8" s="300"/>
      <c r="E8" s="426"/>
      <c r="F8" s="426"/>
      <c r="G8" s="427"/>
      <c r="H8" s="358">
        <v>0</v>
      </c>
    </row>
    <row r="9" spans="1:10" s="143" customFormat="1" ht="12.4" customHeight="1" x14ac:dyDescent="0.2">
      <c r="A9" s="162" t="s">
        <v>627</v>
      </c>
      <c r="B9" s="300" t="s">
        <v>1066</v>
      </c>
      <c r="C9" s="300"/>
      <c r="D9" s="300"/>
      <c r="E9" s="426"/>
      <c r="F9" s="426"/>
      <c r="G9" s="427"/>
      <c r="H9" s="358">
        <v>0</v>
      </c>
    </row>
    <row r="10" spans="1:10" s="143" customFormat="1" ht="12.4" customHeight="1" x14ac:dyDescent="0.2">
      <c r="A10" s="162" t="s">
        <v>629</v>
      </c>
      <c r="B10" s="304" t="s">
        <v>1086</v>
      </c>
      <c r="C10" s="305"/>
      <c r="D10" s="305"/>
      <c r="E10" s="305"/>
      <c r="F10" s="305"/>
      <c r="G10" s="306"/>
      <c r="H10" s="428">
        <f>SUM(H6:H9)</f>
        <v>0</v>
      </c>
    </row>
    <row r="11" spans="1:10" x14ac:dyDescent="0.25">
      <c r="A11" s="199"/>
    </row>
  </sheetData>
  <sheetProtection algorithmName="SHA-512" hashValue="LbTnNAydqvd0kasgm00wr1o3Z7ha+Z1Tuf02PuxYyjoR7VnQDYmsamuFtzVBwd62j3pL2+a9mPDe96KhQo/5Hg==" saltValue="p1l/Uz3tVVmz+7084kBlzA==" spinCount="100000" sheet="1" objects="1" scenarios="1"/>
  <dataValidations count="64">
    <dataValidation type="whole" operator="greaterThan" allowBlank="1" showInputMessage="1" showErrorMessage="1" errorTitle="Whole numbers only allowed" error="All monies should be independently rounded to the nearest £1,000." sqref="H6:H9">
      <formula1>-99999999</formula1>
    </dataValidation>
    <dataValidation type="whole" operator="greaterThan" allowBlank="1" showInputMessage="1" showErrorMessage="1" errorTitle="Whole numbers only allowed" error="All monies should be independently rounded to the nearest £1,000." sqref="GC6:GC9">
      <formula1>-99999999</formula1>
    </dataValidation>
    <dataValidation type="whole" operator="greaterThan" allowBlank="1" showInputMessage="1" showErrorMessage="1" errorTitle="Whole numbers only allowed" error="All monies should be independently rounded to the nearest £1,000." sqref="PY6:PY9">
      <formula1>-99999999</formula1>
    </dataValidation>
    <dataValidation type="whole" operator="greaterThan" allowBlank="1" showInputMessage="1" showErrorMessage="1" errorTitle="Whole numbers only allowed" error="All monies should be independently rounded to the nearest £1,000." sqref="ZU6:ZU9">
      <formula1>-99999999</formula1>
    </dataValidation>
    <dataValidation type="whole" operator="greaterThan" allowBlank="1" showInputMessage="1" showErrorMessage="1" errorTitle="Whole numbers only allowed" error="All monies should be independently rounded to the nearest £1,000." sqref="AJQ6:AJQ9">
      <formula1>-99999999</formula1>
    </dataValidation>
    <dataValidation type="whole" operator="greaterThan" allowBlank="1" showInputMessage="1" showErrorMessage="1" errorTitle="Whole numbers only allowed" error="All monies should be independently rounded to the nearest £1,000." sqref="ATM6:ATM9">
      <formula1>-99999999</formula1>
    </dataValidation>
    <dataValidation type="whole" operator="greaterThan" allowBlank="1" showInputMessage="1" showErrorMessage="1" errorTitle="Whole numbers only allowed" error="All monies should be independently rounded to the nearest £1,000." sqref="BDI6:BDI9">
      <formula1>-99999999</formula1>
    </dataValidation>
    <dataValidation type="whole" operator="greaterThan" allowBlank="1" showInputMessage="1" showErrorMessage="1" errorTitle="Whole numbers only allowed" error="All monies should be independently rounded to the nearest £1,000." sqref="BNE6:BNE9">
      <formula1>-99999999</formula1>
    </dataValidation>
    <dataValidation type="whole" operator="greaterThan" allowBlank="1" showInputMessage="1" showErrorMessage="1" errorTitle="Whole numbers only allowed" error="All monies should be independently rounded to the nearest £1,000." sqref="BXA6:BXA9">
      <formula1>-99999999</formula1>
    </dataValidation>
    <dataValidation type="whole" operator="greaterThan" allowBlank="1" showInputMessage="1" showErrorMessage="1" errorTitle="Whole numbers only allowed" error="All monies should be independently rounded to the nearest £1,000." sqref="CGW6:CGW9">
      <formula1>-99999999</formula1>
    </dataValidation>
    <dataValidation type="whole" operator="greaterThan" allowBlank="1" showInputMessage="1" showErrorMessage="1" errorTitle="Whole numbers only allowed" error="All monies should be independently rounded to the nearest £1,000." sqref="CQS6:CQS9">
      <formula1>-99999999</formula1>
    </dataValidation>
    <dataValidation type="whole" operator="greaterThan" allowBlank="1" showInputMessage="1" showErrorMessage="1" errorTitle="Whole numbers only allowed" error="All monies should be independently rounded to the nearest £1,000." sqref="DAO6:DAO9">
      <formula1>-99999999</formula1>
    </dataValidation>
    <dataValidation type="whole" operator="greaterThan" allowBlank="1" showInputMessage="1" showErrorMessage="1" errorTitle="Whole numbers only allowed" error="All monies should be independently rounded to the nearest £1,000." sqref="DKK6:DKK9">
      <formula1>-99999999</formula1>
    </dataValidation>
    <dataValidation type="whole" operator="greaterThan" allowBlank="1" showInputMessage="1" showErrorMessage="1" errorTitle="Whole numbers only allowed" error="All monies should be independently rounded to the nearest £1,000." sqref="DUG6:DUG9">
      <formula1>-99999999</formula1>
    </dataValidation>
    <dataValidation type="whole" operator="greaterThan" allowBlank="1" showInputMessage="1" showErrorMessage="1" errorTitle="Whole numbers only allowed" error="All monies should be independently rounded to the nearest £1,000." sqref="EEC6:EEC9">
      <formula1>-99999999</formula1>
    </dataValidation>
    <dataValidation type="whole" operator="greaterThan" allowBlank="1" showInputMessage="1" showErrorMessage="1" errorTitle="Whole numbers only allowed" error="All monies should be independently rounded to the nearest £1,000." sqref="ENY6:ENY9">
      <formula1>-99999999</formula1>
    </dataValidation>
    <dataValidation type="whole" operator="greaterThan" allowBlank="1" showInputMessage="1" showErrorMessage="1" errorTitle="Whole numbers only allowed" error="All monies should be independently rounded to the nearest £1,000." sqref="EXU6:EXU9">
      <formula1>-99999999</formula1>
    </dataValidation>
    <dataValidation type="whole" operator="greaterThan" allowBlank="1" showInputMessage="1" showErrorMessage="1" errorTitle="Whole numbers only allowed" error="All monies should be independently rounded to the nearest £1,000." sqref="FHQ6:FHQ9">
      <formula1>-99999999</formula1>
    </dataValidation>
    <dataValidation type="whole" operator="greaterThan" allowBlank="1" showInputMessage="1" showErrorMessage="1" errorTitle="Whole numbers only allowed" error="All monies should be independently rounded to the nearest £1,000." sqref="FRM6:FRM9">
      <formula1>-99999999</formula1>
    </dataValidation>
    <dataValidation type="whole" operator="greaterThan" allowBlank="1" showInputMessage="1" showErrorMessage="1" errorTitle="Whole numbers only allowed" error="All monies should be independently rounded to the nearest £1,000." sqref="GBI6:GBI9">
      <formula1>-99999999</formula1>
    </dataValidation>
    <dataValidation type="whole" operator="greaterThan" allowBlank="1" showInputMessage="1" showErrorMessage="1" errorTitle="Whole numbers only allowed" error="All monies should be independently rounded to the nearest £1,000." sqref="GLE6:GLE9">
      <formula1>-99999999</formula1>
    </dataValidation>
    <dataValidation type="whole" operator="greaterThan" allowBlank="1" showInputMessage="1" showErrorMessage="1" errorTitle="Whole numbers only allowed" error="All monies should be independently rounded to the nearest £1,000." sqref="GVA6:GVA9">
      <formula1>-99999999</formula1>
    </dataValidation>
    <dataValidation type="whole" operator="greaterThan" allowBlank="1" showInputMessage="1" showErrorMessage="1" errorTitle="Whole numbers only allowed" error="All monies should be independently rounded to the nearest £1,000." sqref="HEW6:HEW9">
      <formula1>-99999999</formula1>
    </dataValidation>
    <dataValidation type="whole" operator="greaterThan" allowBlank="1" showInputMessage="1" showErrorMessage="1" errorTitle="Whole numbers only allowed" error="All monies should be independently rounded to the nearest £1,000." sqref="HOS6:HOS9">
      <formula1>-99999999</formula1>
    </dataValidation>
    <dataValidation type="whole" operator="greaterThan" allowBlank="1" showInputMessage="1" showErrorMessage="1" errorTitle="Whole numbers only allowed" error="All monies should be independently rounded to the nearest £1,000." sqref="HYO6:HYO9">
      <formula1>-99999999</formula1>
    </dataValidation>
    <dataValidation type="whole" operator="greaterThan" allowBlank="1" showInputMessage="1" showErrorMessage="1" errorTitle="Whole numbers only allowed" error="All monies should be independently rounded to the nearest £1,000." sqref="IIK6:IIK9">
      <formula1>-99999999</formula1>
    </dataValidation>
    <dataValidation type="whole" operator="greaterThan" allowBlank="1" showInputMessage="1" showErrorMessage="1" errorTitle="Whole numbers only allowed" error="All monies should be independently rounded to the nearest £1,000." sqref="ISG6:ISG9">
      <formula1>-99999999</formula1>
    </dataValidation>
    <dataValidation type="whole" operator="greaterThan" allowBlank="1" showInputMessage="1" showErrorMessage="1" errorTitle="Whole numbers only allowed" error="All monies should be independently rounded to the nearest £1,000." sqref="JCC6:JCC9">
      <formula1>-99999999</formula1>
    </dataValidation>
    <dataValidation type="whole" operator="greaterThan" allowBlank="1" showInputMessage="1" showErrorMessage="1" errorTitle="Whole numbers only allowed" error="All monies should be independently rounded to the nearest £1,000." sqref="JLY6:JLY9">
      <formula1>-99999999</formula1>
    </dataValidation>
    <dataValidation type="whole" operator="greaterThan" allowBlank="1" showInputMessage="1" showErrorMessage="1" errorTitle="Whole numbers only allowed" error="All monies should be independently rounded to the nearest £1,000." sqref="JVU6:JVU9">
      <formula1>-99999999</formula1>
    </dataValidation>
    <dataValidation type="whole" operator="greaterThan" allowBlank="1" showInputMessage="1" showErrorMessage="1" errorTitle="Whole numbers only allowed" error="All monies should be independently rounded to the nearest £1,000." sqref="KFQ6:KFQ9">
      <formula1>-99999999</formula1>
    </dataValidation>
    <dataValidation type="whole" operator="greaterThan" allowBlank="1" showInputMessage="1" showErrorMessage="1" errorTitle="Whole numbers only allowed" error="All monies should be independently rounded to the nearest £1,000." sqref="KPM6:KPM9">
      <formula1>-99999999</formula1>
    </dataValidation>
    <dataValidation type="whole" operator="greaterThan" allowBlank="1" showInputMessage="1" showErrorMessage="1" errorTitle="Whole numbers only allowed" error="All monies should be independently rounded to the nearest £1,000." sqref="KZI6:KZI9">
      <formula1>-99999999</formula1>
    </dataValidation>
    <dataValidation type="whole" operator="greaterThan" allowBlank="1" showInputMessage="1" showErrorMessage="1" errorTitle="Whole numbers only allowed" error="All monies should be independently rounded to the nearest £1,000." sqref="LJE6:LJE9">
      <formula1>-99999999</formula1>
    </dataValidation>
    <dataValidation type="whole" operator="greaterThan" allowBlank="1" showInputMessage="1" showErrorMessage="1" errorTitle="Whole numbers only allowed" error="All monies should be independently rounded to the nearest £1,000." sqref="LTA6:LTA9">
      <formula1>-99999999</formula1>
    </dataValidation>
    <dataValidation type="whole" operator="greaterThan" allowBlank="1" showInputMessage="1" showErrorMessage="1" errorTitle="Whole numbers only allowed" error="All monies should be independently rounded to the nearest £1,000." sqref="MCW6:MCW9">
      <formula1>-99999999</formula1>
    </dataValidation>
    <dataValidation type="whole" operator="greaterThan" allowBlank="1" showInputMessage="1" showErrorMessage="1" errorTitle="Whole numbers only allowed" error="All monies should be independently rounded to the nearest £1,000." sqref="MMS6:MMS9">
      <formula1>-99999999</formula1>
    </dataValidation>
    <dataValidation type="whole" operator="greaterThan" allowBlank="1" showInputMessage="1" showErrorMessage="1" errorTitle="Whole numbers only allowed" error="All monies should be independently rounded to the nearest £1,000." sqref="MWO6:MWO9">
      <formula1>-99999999</formula1>
    </dataValidation>
    <dataValidation type="whole" operator="greaterThan" allowBlank="1" showInputMessage="1" showErrorMessage="1" errorTitle="Whole numbers only allowed" error="All monies should be independently rounded to the nearest £1,000." sqref="NGK6:NGK9">
      <formula1>-99999999</formula1>
    </dataValidation>
    <dataValidation type="whole" operator="greaterThan" allowBlank="1" showInputMessage="1" showErrorMessage="1" errorTitle="Whole numbers only allowed" error="All monies should be independently rounded to the nearest £1,000." sqref="NQG6:NQG9">
      <formula1>-99999999</formula1>
    </dataValidation>
    <dataValidation type="whole" operator="greaterThan" allowBlank="1" showInputMessage="1" showErrorMessage="1" errorTitle="Whole numbers only allowed" error="All monies should be independently rounded to the nearest £1,000." sqref="OAC6:OAC9">
      <formula1>-99999999</formula1>
    </dataValidation>
    <dataValidation type="whole" operator="greaterThan" allowBlank="1" showInputMessage="1" showErrorMessage="1" errorTitle="Whole numbers only allowed" error="All monies should be independently rounded to the nearest £1,000." sqref="OJY6:OJY9">
      <formula1>-99999999</formula1>
    </dataValidation>
    <dataValidation type="whole" operator="greaterThan" allowBlank="1" showInputMessage="1" showErrorMessage="1" errorTitle="Whole numbers only allowed" error="All monies should be independently rounded to the nearest £1,000." sqref="OTU6:OTU9">
      <formula1>-99999999</formula1>
    </dataValidation>
    <dataValidation type="whole" operator="greaterThan" allowBlank="1" showInputMessage="1" showErrorMessage="1" errorTitle="Whole numbers only allowed" error="All monies should be independently rounded to the nearest £1,000." sqref="PDQ6:PDQ9">
      <formula1>-99999999</formula1>
    </dataValidation>
    <dataValidation type="whole" operator="greaterThan" allowBlank="1" showInputMessage="1" showErrorMessage="1" errorTitle="Whole numbers only allowed" error="All monies should be independently rounded to the nearest £1,000." sqref="PNM6:PNM9">
      <formula1>-99999999</formula1>
    </dataValidation>
    <dataValidation type="whole" operator="greaterThan" allowBlank="1" showInputMessage="1" showErrorMessage="1" errorTitle="Whole numbers only allowed" error="All monies should be independently rounded to the nearest £1,000." sqref="PXI6:PXI9">
      <formula1>-99999999</formula1>
    </dataValidation>
    <dataValidation type="whole" operator="greaterThan" allowBlank="1" showInputMessage="1" showErrorMessage="1" errorTitle="Whole numbers only allowed" error="All monies should be independently rounded to the nearest £1,000." sqref="QHE6:QHE9">
      <formula1>-99999999</formula1>
    </dataValidation>
    <dataValidation type="whole" operator="greaterThan" allowBlank="1" showInputMessage="1" showErrorMessage="1" errorTitle="Whole numbers only allowed" error="All monies should be independently rounded to the nearest £1,000." sqref="QRA6:QRA9">
      <formula1>-99999999</formula1>
    </dataValidation>
    <dataValidation type="whole" operator="greaterThan" allowBlank="1" showInputMessage="1" showErrorMessage="1" errorTitle="Whole numbers only allowed" error="All monies should be independently rounded to the nearest £1,000." sqref="RAW6:RAW9">
      <formula1>-99999999</formula1>
    </dataValidation>
    <dataValidation type="whole" operator="greaterThan" allowBlank="1" showInputMessage="1" showErrorMessage="1" errorTitle="Whole numbers only allowed" error="All monies should be independently rounded to the nearest £1,000." sqref="RKS6:RKS9">
      <formula1>-99999999</formula1>
    </dataValidation>
    <dataValidation type="whole" operator="greaterThan" allowBlank="1" showInputMessage="1" showErrorMessage="1" errorTitle="Whole numbers only allowed" error="All monies should be independently rounded to the nearest £1,000." sqref="RUO6:RUO9">
      <formula1>-99999999</formula1>
    </dataValidation>
    <dataValidation type="whole" operator="greaterThan" allowBlank="1" showInputMessage="1" showErrorMessage="1" errorTitle="Whole numbers only allowed" error="All monies should be independently rounded to the nearest £1,000." sqref="SEK6:SEK9">
      <formula1>-99999999</formula1>
    </dataValidation>
    <dataValidation type="whole" operator="greaterThan" allowBlank="1" showInputMessage="1" showErrorMessage="1" errorTitle="Whole numbers only allowed" error="All monies should be independently rounded to the nearest £1,000." sqref="SOG6:SOG9">
      <formula1>-99999999</formula1>
    </dataValidation>
    <dataValidation type="whole" operator="greaterThan" allowBlank="1" showInputMessage="1" showErrorMessage="1" errorTitle="Whole numbers only allowed" error="All monies should be independently rounded to the nearest £1,000." sqref="SYC6:SYC9">
      <formula1>-99999999</formula1>
    </dataValidation>
    <dataValidation type="whole" operator="greaterThan" allowBlank="1" showInputMessage="1" showErrorMessage="1" errorTitle="Whole numbers only allowed" error="All monies should be independently rounded to the nearest £1,000." sqref="THY6:THY9">
      <formula1>-99999999</formula1>
    </dataValidation>
    <dataValidation type="whole" operator="greaterThan" allowBlank="1" showInputMessage="1" showErrorMessage="1" errorTitle="Whole numbers only allowed" error="All monies should be independently rounded to the nearest £1,000." sqref="TRU6:TRU9">
      <formula1>-99999999</formula1>
    </dataValidation>
    <dataValidation type="whole" operator="greaterThan" allowBlank="1" showInputMessage="1" showErrorMessage="1" errorTitle="Whole numbers only allowed" error="All monies should be independently rounded to the nearest £1,000." sqref="UBQ6:UBQ9">
      <formula1>-99999999</formula1>
    </dataValidation>
    <dataValidation type="whole" operator="greaterThan" allowBlank="1" showInputMessage="1" showErrorMessage="1" errorTitle="Whole numbers only allowed" error="All monies should be independently rounded to the nearest £1,000." sqref="ULM6:ULM9">
      <formula1>-99999999</formula1>
    </dataValidation>
    <dataValidation type="whole" operator="greaterThan" allowBlank="1" showInputMessage="1" showErrorMessage="1" errorTitle="Whole numbers only allowed" error="All monies should be independently rounded to the nearest £1,000." sqref="UVI6:UVI9">
      <formula1>-99999999</formula1>
    </dataValidation>
    <dataValidation type="whole" operator="greaterThan" allowBlank="1" showInputMessage="1" showErrorMessage="1" errorTitle="Whole numbers only allowed" error="All monies should be independently rounded to the nearest £1,000." sqref="VFE6:VFE9">
      <formula1>-99999999</formula1>
    </dataValidation>
    <dataValidation type="whole" operator="greaterThan" allowBlank="1" showInputMessage="1" showErrorMessage="1" errorTitle="Whole numbers only allowed" error="All monies should be independently rounded to the nearest £1,000." sqref="VPA6:VPA9">
      <formula1>-99999999</formula1>
    </dataValidation>
    <dataValidation type="whole" operator="greaterThan" allowBlank="1" showInputMessage="1" showErrorMessage="1" errorTitle="Whole numbers only allowed" error="All monies should be independently rounded to the nearest £1,000." sqref="VYW6:VYW9">
      <formula1>-99999999</formula1>
    </dataValidation>
    <dataValidation type="whole" operator="greaterThan" allowBlank="1" showInputMessage="1" showErrorMessage="1" errorTitle="Whole numbers only allowed" error="All monies should be independently rounded to the nearest £1,000." sqref="WIS6:WIS9">
      <formula1>-99999999</formula1>
    </dataValidation>
    <dataValidation type="whole" operator="greaterThan" allowBlank="1" showInputMessage="1" showErrorMessage="1" errorTitle="Whole numbers only allowed" error="All monies should be independently rounded to the nearest £1,000." sqref="WSO6:WSO9">
      <formula1>-99999999</formula1>
    </dataValidation>
  </dataValidations>
  <printOptions headings="1"/>
  <pageMargins left="0.70866141732283472" right="0.7086614173228347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V104"/>
  <sheetViews>
    <sheetView zoomScale="90" zoomScaleNormal="90" workbookViewId="0">
      <pane ySplit="3" topLeftCell="A82" activePane="bottomLeft" state="frozenSplit"/>
      <selection pane="bottomLeft" activeCell="N102" sqref="N102"/>
    </sheetView>
  </sheetViews>
  <sheetFormatPr defaultColWidth="9.140625" defaultRowHeight="12.75" x14ac:dyDescent="0.2"/>
  <cols>
    <col min="1" max="1" width="10" style="199" bestFit="1" customWidth="1"/>
    <col min="2" max="2" width="3" style="143" customWidth="1"/>
    <col min="3" max="3" width="3.28515625" style="143" customWidth="1"/>
    <col min="4" max="4" width="80.28515625" style="143" customWidth="1"/>
    <col min="5" max="7" width="2.28515625" style="143" hidden="1" customWidth="1"/>
    <col min="8" max="8" width="13.140625" style="143" customWidth="1"/>
    <col min="9" max="10" width="10.28515625" style="143" customWidth="1"/>
    <col min="11" max="11" width="17.85546875" style="143" bestFit="1" customWidth="1"/>
    <col min="12" max="12" width="14.85546875" style="143" customWidth="1"/>
    <col min="13" max="13" width="16.28515625" style="143" bestFit="1" customWidth="1"/>
    <col min="14" max="14" width="17" style="460" customWidth="1"/>
    <col min="15" max="15" width="15.7109375" style="143" bestFit="1" customWidth="1"/>
    <col min="16" max="16" width="9.140625" style="143" customWidth="1"/>
    <col min="17" max="16384" width="9.140625" style="143"/>
  </cols>
  <sheetData>
    <row r="1" spans="1:15" customFormat="1" ht="15.4" customHeight="1" x14ac:dyDescent="0.25">
      <c r="A1" s="439" t="s">
        <v>1115</v>
      </c>
      <c r="B1" s="259" t="s">
        <v>1116</v>
      </c>
      <c r="C1" s="259"/>
      <c r="D1" s="259"/>
      <c r="E1" s="259"/>
      <c r="F1" s="259"/>
      <c r="G1" s="259"/>
      <c r="H1" s="652" t="s">
        <v>635</v>
      </c>
      <c r="I1" s="652"/>
      <c r="J1" s="652"/>
      <c r="K1" s="652"/>
      <c r="L1" s="652"/>
      <c r="M1" s="652"/>
      <c r="N1" s="652"/>
      <c r="O1" s="653"/>
    </row>
    <row r="2" spans="1:15" customFormat="1" ht="15.4" customHeight="1" x14ac:dyDescent="0.25">
      <c r="A2" s="271"/>
      <c r="B2" s="262"/>
      <c r="C2" s="262"/>
      <c r="D2" s="262"/>
      <c r="E2" s="262"/>
      <c r="F2" s="262"/>
      <c r="G2" s="262"/>
      <c r="H2" s="440">
        <v>1</v>
      </c>
      <c r="I2" s="440">
        <v>2</v>
      </c>
      <c r="J2" s="440">
        <v>3</v>
      </c>
      <c r="K2" s="440">
        <v>4</v>
      </c>
      <c r="L2" s="440">
        <v>5</v>
      </c>
      <c r="M2" s="440">
        <v>6</v>
      </c>
      <c r="N2" s="441">
        <v>7</v>
      </c>
      <c r="O2" s="442">
        <v>8</v>
      </c>
    </row>
    <row r="3" spans="1:15" customFormat="1" ht="45.4" customHeight="1" x14ac:dyDescent="0.25">
      <c r="A3" s="288"/>
      <c r="B3" s="286"/>
      <c r="C3" s="286"/>
      <c r="D3" s="262"/>
      <c r="E3" s="286"/>
      <c r="F3" s="286"/>
      <c r="G3" s="289"/>
      <c r="H3" s="443" t="s">
        <v>1117</v>
      </c>
      <c r="I3" s="443" t="s">
        <v>1118</v>
      </c>
      <c r="J3" s="443" t="s">
        <v>1119</v>
      </c>
      <c r="K3" s="443" t="s">
        <v>639</v>
      </c>
      <c r="L3" s="443" t="s">
        <v>641</v>
      </c>
      <c r="M3" s="443" t="s">
        <v>643</v>
      </c>
      <c r="N3" s="443" t="s">
        <v>645</v>
      </c>
      <c r="O3" s="443" t="s">
        <v>647</v>
      </c>
    </row>
    <row r="4" spans="1:15" customFormat="1" ht="15.4" customHeight="1" x14ac:dyDescent="0.25">
      <c r="A4" s="444"/>
      <c r="B4" s="445"/>
      <c r="C4" s="445"/>
      <c r="D4" s="445"/>
      <c r="E4" s="445"/>
      <c r="F4" s="445"/>
      <c r="G4" s="446"/>
      <c r="H4" s="275" t="s">
        <v>616</v>
      </c>
      <c r="I4" s="275" t="s">
        <v>616</v>
      </c>
      <c r="J4" s="275" t="s">
        <v>616</v>
      </c>
      <c r="K4" s="275" t="s">
        <v>616</v>
      </c>
      <c r="L4" s="275" t="s">
        <v>616</v>
      </c>
      <c r="M4" s="275" t="s">
        <v>616</v>
      </c>
      <c r="N4" s="275" t="s">
        <v>616</v>
      </c>
      <c r="O4" s="275" t="s">
        <v>616</v>
      </c>
    </row>
    <row r="5" spans="1:15" customFormat="1" ht="12.75" customHeight="1" x14ac:dyDescent="0.25">
      <c r="A5" s="162">
        <v>1</v>
      </c>
      <c r="B5" s="296" t="s">
        <v>889</v>
      </c>
      <c r="C5" s="297"/>
      <c r="D5" s="297"/>
      <c r="E5" s="297"/>
      <c r="F5" s="297"/>
      <c r="G5" s="298"/>
      <c r="H5" s="166"/>
      <c r="I5" s="166"/>
      <c r="J5" s="166"/>
      <c r="K5" s="166"/>
      <c r="L5" s="166"/>
      <c r="M5" s="166"/>
      <c r="N5" s="447"/>
      <c r="O5" s="166"/>
    </row>
    <row r="6" spans="1:15" customFormat="1" ht="12.75" customHeight="1" x14ac:dyDescent="0.25">
      <c r="A6" s="162" t="s">
        <v>621</v>
      </c>
      <c r="B6" s="310"/>
      <c r="C6" s="300" t="s">
        <v>890</v>
      </c>
      <c r="D6" s="301"/>
      <c r="E6" s="301"/>
      <c r="F6" s="301"/>
      <c r="G6" s="302"/>
      <c r="H6" s="174">
        <v>38886</v>
      </c>
      <c r="I6" s="174">
        <v>21351</v>
      </c>
      <c r="J6" s="303">
        <f t="shared" ref="J6:J50" si="0">SUM(H6:I6)</f>
        <v>60237</v>
      </c>
      <c r="K6" s="448" t="s">
        <v>1120</v>
      </c>
      <c r="L6" s="174">
        <v>7129</v>
      </c>
      <c r="M6" s="174">
        <v>1201</v>
      </c>
      <c r="N6" s="448" t="s">
        <v>1120</v>
      </c>
      <c r="O6" s="303">
        <f t="shared" ref="O6:O51" si="1">SUM(J6:M6)</f>
        <v>68567</v>
      </c>
    </row>
    <row r="7" spans="1:15" customFormat="1" ht="12.75" customHeight="1" x14ac:dyDescent="0.25">
      <c r="A7" s="162" t="s">
        <v>623</v>
      </c>
      <c r="B7" s="310"/>
      <c r="C7" s="300" t="s">
        <v>891</v>
      </c>
      <c r="D7" s="301"/>
      <c r="E7" s="301"/>
      <c r="F7" s="301"/>
      <c r="G7" s="302"/>
      <c r="H7" s="174">
        <v>1293</v>
      </c>
      <c r="I7" s="174">
        <v>281</v>
      </c>
      <c r="J7" s="303">
        <f t="shared" si="0"/>
        <v>1574</v>
      </c>
      <c r="K7" s="448" t="s">
        <v>1120</v>
      </c>
      <c r="L7" s="174">
        <v>479</v>
      </c>
      <c r="M7" s="174">
        <v>16</v>
      </c>
      <c r="N7" s="448" t="s">
        <v>1120</v>
      </c>
      <c r="O7" s="303">
        <f t="shared" si="1"/>
        <v>2069</v>
      </c>
    </row>
    <row r="8" spans="1:15" customFormat="1" ht="12.75" customHeight="1" x14ac:dyDescent="0.25">
      <c r="A8" s="162" t="s">
        <v>625</v>
      </c>
      <c r="B8" s="310"/>
      <c r="C8" s="300" t="s">
        <v>892</v>
      </c>
      <c r="D8" s="301"/>
      <c r="E8" s="301"/>
      <c r="F8" s="301"/>
      <c r="G8" s="302"/>
      <c r="H8" s="174">
        <v>781</v>
      </c>
      <c r="I8" s="174">
        <v>282</v>
      </c>
      <c r="J8" s="303">
        <f t="shared" si="0"/>
        <v>1063</v>
      </c>
      <c r="K8" s="448" t="s">
        <v>1120</v>
      </c>
      <c r="L8" s="174">
        <v>280</v>
      </c>
      <c r="M8" s="174">
        <v>0</v>
      </c>
      <c r="N8" s="448" t="s">
        <v>1120</v>
      </c>
      <c r="O8" s="303">
        <f t="shared" si="1"/>
        <v>1343</v>
      </c>
    </row>
    <row r="9" spans="1:15" customFormat="1" ht="12.75" customHeight="1" x14ac:dyDescent="0.25">
      <c r="A9" s="162" t="s">
        <v>627</v>
      </c>
      <c r="B9" s="310"/>
      <c r="C9" s="300" t="s">
        <v>893</v>
      </c>
      <c r="D9" s="301"/>
      <c r="E9" s="301"/>
      <c r="F9" s="301"/>
      <c r="G9" s="302"/>
      <c r="H9" s="174">
        <v>5589</v>
      </c>
      <c r="I9" s="174">
        <v>1227</v>
      </c>
      <c r="J9" s="303">
        <f t="shared" si="0"/>
        <v>6816</v>
      </c>
      <c r="K9" s="448" t="s">
        <v>1120</v>
      </c>
      <c r="L9" s="174">
        <v>1369</v>
      </c>
      <c r="M9" s="174">
        <v>70</v>
      </c>
      <c r="N9" s="448" t="s">
        <v>1120</v>
      </c>
      <c r="O9" s="303">
        <f t="shared" si="1"/>
        <v>8255</v>
      </c>
    </row>
    <row r="10" spans="1:15" customFormat="1" ht="12.75" customHeight="1" x14ac:dyDescent="0.25">
      <c r="A10" s="162" t="s">
        <v>629</v>
      </c>
      <c r="B10" s="310"/>
      <c r="C10" s="300" t="s">
        <v>894</v>
      </c>
      <c r="D10" s="301"/>
      <c r="E10" s="301"/>
      <c r="F10" s="301"/>
      <c r="G10" s="302"/>
      <c r="H10" s="174">
        <v>0</v>
      </c>
      <c r="I10" s="174">
        <v>0</v>
      </c>
      <c r="J10" s="303">
        <f t="shared" si="0"/>
        <v>0</v>
      </c>
      <c r="K10" s="448" t="s">
        <v>1120</v>
      </c>
      <c r="L10" s="174">
        <v>0</v>
      </c>
      <c r="M10" s="174">
        <v>0</v>
      </c>
      <c r="N10" s="448" t="s">
        <v>1120</v>
      </c>
      <c r="O10" s="303">
        <f t="shared" si="1"/>
        <v>0</v>
      </c>
    </row>
    <row r="11" spans="1:15" customFormat="1" ht="12.75" customHeight="1" x14ac:dyDescent="0.25">
      <c r="A11" s="162" t="s">
        <v>631</v>
      </c>
      <c r="B11" s="310"/>
      <c r="C11" s="300" t="s">
        <v>895</v>
      </c>
      <c r="D11" s="301"/>
      <c r="E11" s="301"/>
      <c r="F11" s="301"/>
      <c r="G11" s="302"/>
      <c r="H11" s="174">
        <v>0</v>
      </c>
      <c r="I11" s="174">
        <v>0</v>
      </c>
      <c r="J11" s="303">
        <f t="shared" si="0"/>
        <v>0</v>
      </c>
      <c r="K11" s="448" t="s">
        <v>1120</v>
      </c>
      <c r="L11" s="174">
        <v>0</v>
      </c>
      <c r="M11" s="174">
        <v>0</v>
      </c>
      <c r="N11" s="448" t="s">
        <v>1120</v>
      </c>
      <c r="O11" s="303">
        <f t="shared" si="1"/>
        <v>0</v>
      </c>
    </row>
    <row r="12" spans="1:15" customFormat="1" ht="12.75" customHeight="1" x14ac:dyDescent="0.25">
      <c r="A12" s="162" t="s">
        <v>633</v>
      </c>
      <c r="B12" s="310"/>
      <c r="C12" s="300" t="s">
        <v>896</v>
      </c>
      <c r="D12" s="301"/>
      <c r="E12" s="301"/>
      <c r="F12" s="301"/>
      <c r="G12" s="302"/>
      <c r="H12" s="174">
        <v>0</v>
      </c>
      <c r="I12" s="174">
        <v>0</v>
      </c>
      <c r="J12" s="303">
        <f t="shared" si="0"/>
        <v>0</v>
      </c>
      <c r="K12" s="448" t="s">
        <v>1120</v>
      </c>
      <c r="L12" s="174">
        <v>0</v>
      </c>
      <c r="M12" s="174">
        <v>0</v>
      </c>
      <c r="N12" s="448" t="s">
        <v>1120</v>
      </c>
      <c r="O12" s="303">
        <f t="shared" si="1"/>
        <v>0</v>
      </c>
    </row>
    <row r="13" spans="1:15" customFormat="1" ht="12.75" customHeight="1" x14ac:dyDescent="0.25">
      <c r="A13" s="162" t="s">
        <v>723</v>
      </c>
      <c r="B13" s="310"/>
      <c r="C13" s="300" t="s">
        <v>897</v>
      </c>
      <c r="D13" s="301"/>
      <c r="E13" s="301"/>
      <c r="F13" s="301"/>
      <c r="G13" s="302"/>
      <c r="H13" s="174">
        <v>0</v>
      </c>
      <c r="I13" s="174">
        <v>0</v>
      </c>
      <c r="J13" s="303">
        <f t="shared" si="0"/>
        <v>0</v>
      </c>
      <c r="K13" s="448" t="s">
        <v>1120</v>
      </c>
      <c r="L13" s="174">
        <v>0</v>
      </c>
      <c r="M13" s="174">
        <v>0</v>
      </c>
      <c r="N13" s="448" t="s">
        <v>1120</v>
      </c>
      <c r="O13" s="303">
        <f t="shared" si="1"/>
        <v>0</v>
      </c>
    </row>
    <row r="14" spans="1:15" customFormat="1" ht="12.75" customHeight="1" x14ac:dyDescent="0.25">
      <c r="A14" s="162" t="s">
        <v>725</v>
      </c>
      <c r="B14" s="310"/>
      <c r="C14" s="300" t="s">
        <v>898</v>
      </c>
      <c r="D14" s="301"/>
      <c r="E14" s="301"/>
      <c r="F14" s="301"/>
      <c r="G14" s="302"/>
      <c r="H14" s="174">
        <v>13743</v>
      </c>
      <c r="I14" s="174">
        <v>13940</v>
      </c>
      <c r="J14" s="303">
        <f t="shared" si="0"/>
        <v>27683</v>
      </c>
      <c r="K14" s="448" t="s">
        <v>1120</v>
      </c>
      <c r="L14" s="174">
        <v>11053</v>
      </c>
      <c r="M14" s="174">
        <v>564</v>
      </c>
      <c r="N14" s="448" t="s">
        <v>1120</v>
      </c>
      <c r="O14" s="303">
        <f t="shared" si="1"/>
        <v>39300</v>
      </c>
    </row>
    <row r="15" spans="1:15" customFormat="1" ht="12.75" customHeight="1" x14ac:dyDescent="0.25">
      <c r="A15" s="162" t="s">
        <v>727</v>
      </c>
      <c r="B15" s="310"/>
      <c r="C15" s="300" t="s">
        <v>899</v>
      </c>
      <c r="D15" s="301"/>
      <c r="E15" s="301"/>
      <c r="F15" s="301"/>
      <c r="G15" s="302"/>
      <c r="H15" s="174">
        <v>0</v>
      </c>
      <c r="I15" s="174">
        <v>0</v>
      </c>
      <c r="J15" s="303">
        <f t="shared" si="0"/>
        <v>0</v>
      </c>
      <c r="K15" s="448" t="s">
        <v>1120</v>
      </c>
      <c r="L15" s="174">
        <v>0</v>
      </c>
      <c r="M15" s="174">
        <v>0</v>
      </c>
      <c r="N15" s="448" t="s">
        <v>1120</v>
      </c>
      <c r="O15" s="303">
        <f t="shared" si="1"/>
        <v>0</v>
      </c>
    </row>
    <row r="16" spans="1:15" customFormat="1" ht="12.75" customHeight="1" x14ac:dyDescent="0.25">
      <c r="A16" s="162" t="s">
        <v>900</v>
      </c>
      <c r="B16" s="310"/>
      <c r="C16" s="300" t="s">
        <v>901</v>
      </c>
      <c r="D16" s="301"/>
      <c r="E16" s="301"/>
      <c r="F16" s="301"/>
      <c r="G16" s="302"/>
      <c r="H16" s="174">
        <v>6576</v>
      </c>
      <c r="I16" s="174">
        <v>3313</v>
      </c>
      <c r="J16" s="303">
        <f t="shared" si="0"/>
        <v>9889</v>
      </c>
      <c r="K16" s="448" t="s">
        <v>1120</v>
      </c>
      <c r="L16" s="174">
        <v>3532</v>
      </c>
      <c r="M16" s="174">
        <v>70</v>
      </c>
      <c r="N16" s="448" t="s">
        <v>1120</v>
      </c>
      <c r="O16" s="303">
        <f t="shared" si="1"/>
        <v>13491</v>
      </c>
    </row>
    <row r="17" spans="1:15" customFormat="1" ht="12.75" customHeight="1" x14ac:dyDescent="0.25">
      <c r="A17" s="162" t="s">
        <v>902</v>
      </c>
      <c r="B17" s="310"/>
      <c r="C17" s="300" t="s">
        <v>903</v>
      </c>
      <c r="D17" s="301"/>
      <c r="E17" s="301"/>
      <c r="F17" s="301"/>
      <c r="G17" s="302"/>
      <c r="H17" s="174">
        <v>16871</v>
      </c>
      <c r="I17" s="174">
        <v>9476</v>
      </c>
      <c r="J17" s="303">
        <f t="shared" si="0"/>
        <v>26347</v>
      </c>
      <c r="K17" s="448" t="s">
        <v>1120</v>
      </c>
      <c r="L17" s="174">
        <v>9639</v>
      </c>
      <c r="M17" s="174">
        <v>2359</v>
      </c>
      <c r="N17" s="448" t="s">
        <v>1120</v>
      </c>
      <c r="O17" s="303">
        <f t="shared" si="1"/>
        <v>38345</v>
      </c>
    </row>
    <row r="18" spans="1:15" customFormat="1" ht="12.75" customHeight="1" x14ac:dyDescent="0.25">
      <c r="A18" s="162" t="s">
        <v>904</v>
      </c>
      <c r="B18" s="310"/>
      <c r="C18" s="300" t="s">
        <v>905</v>
      </c>
      <c r="D18" s="301"/>
      <c r="E18" s="301"/>
      <c r="F18" s="301"/>
      <c r="G18" s="302"/>
      <c r="H18" s="174">
        <v>3521</v>
      </c>
      <c r="I18" s="174">
        <v>2223</v>
      </c>
      <c r="J18" s="303">
        <f t="shared" si="0"/>
        <v>5744</v>
      </c>
      <c r="K18" s="448" t="s">
        <v>1120</v>
      </c>
      <c r="L18" s="174">
        <v>4264</v>
      </c>
      <c r="M18" s="174">
        <v>296</v>
      </c>
      <c r="N18" s="448" t="s">
        <v>1120</v>
      </c>
      <c r="O18" s="303">
        <f t="shared" si="1"/>
        <v>10304</v>
      </c>
    </row>
    <row r="19" spans="1:15" customFormat="1" ht="12.75" customHeight="1" x14ac:dyDescent="0.25">
      <c r="A19" s="162" t="s">
        <v>906</v>
      </c>
      <c r="B19" s="310"/>
      <c r="C19" s="300" t="s">
        <v>907</v>
      </c>
      <c r="D19" s="301"/>
      <c r="E19" s="301"/>
      <c r="F19" s="301"/>
      <c r="G19" s="302"/>
      <c r="H19" s="174">
        <v>5835</v>
      </c>
      <c r="I19" s="174">
        <v>5134</v>
      </c>
      <c r="J19" s="303">
        <f t="shared" si="0"/>
        <v>10969</v>
      </c>
      <c r="K19" s="448" t="s">
        <v>1120</v>
      </c>
      <c r="L19" s="174">
        <v>6975</v>
      </c>
      <c r="M19" s="174">
        <v>472</v>
      </c>
      <c r="N19" s="448" t="s">
        <v>1120</v>
      </c>
      <c r="O19" s="303">
        <f t="shared" si="1"/>
        <v>18416</v>
      </c>
    </row>
    <row r="20" spans="1:15" customFormat="1" ht="12.75" customHeight="1" x14ac:dyDescent="0.25">
      <c r="A20" s="162" t="s">
        <v>908</v>
      </c>
      <c r="B20" s="310"/>
      <c r="C20" s="300" t="s">
        <v>909</v>
      </c>
      <c r="D20" s="301"/>
      <c r="E20" s="301"/>
      <c r="F20" s="301"/>
      <c r="G20" s="302"/>
      <c r="H20" s="174">
        <v>0</v>
      </c>
      <c r="I20" s="174">
        <v>0</v>
      </c>
      <c r="J20" s="303">
        <f t="shared" si="0"/>
        <v>0</v>
      </c>
      <c r="K20" s="448" t="s">
        <v>1120</v>
      </c>
      <c r="L20" s="174">
        <v>0</v>
      </c>
      <c r="M20" s="174">
        <v>0</v>
      </c>
      <c r="N20" s="448" t="s">
        <v>1120</v>
      </c>
      <c r="O20" s="303">
        <f t="shared" si="1"/>
        <v>0</v>
      </c>
    </row>
    <row r="21" spans="1:15" customFormat="1" ht="12.75" customHeight="1" x14ac:dyDescent="0.25">
      <c r="A21" s="162" t="s">
        <v>910</v>
      </c>
      <c r="B21" s="310"/>
      <c r="C21" s="300" t="s">
        <v>911</v>
      </c>
      <c r="D21" s="301"/>
      <c r="E21" s="301"/>
      <c r="F21" s="301"/>
      <c r="G21" s="302"/>
      <c r="H21" s="174">
        <v>1765</v>
      </c>
      <c r="I21" s="174">
        <v>28</v>
      </c>
      <c r="J21" s="303">
        <f t="shared" si="0"/>
        <v>1793</v>
      </c>
      <c r="K21" s="448" t="s">
        <v>1120</v>
      </c>
      <c r="L21" s="174">
        <v>1938</v>
      </c>
      <c r="M21" s="174">
        <v>0</v>
      </c>
      <c r="N21" s="448" t="s">
        <v>1120</v>
      </c>
      <c r="O21" s="303">
        <f t="shared" si="1"/>
        <v>3731</v>
      </c>
    </row>
    <row r="22" spans="1:15" customFormat="1" ht="12.75" customHeight="1" x14ac:dyDescent="0.25">
      <c r="A22" s="162" t="s">
        <v>912</v>
      </c>
      <c r="B22" s="310"/>
      <c r="C22" s="300" t="s">
        <v>913</v>
      </c>
      <c r="D22" s="301"/>
      <c r="E22" s="301"/>
      <c r="F22" s="301"/>
      <c r="G22" s="302"/>
      <c r="H22" s="174">
        <v>0</v>
      </c>
      <c r="I22" s="174">
        <v>0</v>
      </c>
      <c r="J22" s="303">
        <f t="shared" si="0"/>
        <v>0</v>
      </c>
      <c r="K22" s="448" t="s">
        <v>1120</v>
      </c>
      <c r="L22" s="174">
        <v>0</v>
      </c>
      <c r="M22" s="174">
        <v>0</v>
      </c>
      <c r="N22" s="448" t="s">
        <v>1120</v>
      </c>
      <c r="O22" s="303">
        <f t="shared" si="1"/>
        <v>0</v>
      </c>
    </row>
    <row r="23" spans="1:15" customFormat="1" ht="12.75" customHeight="1" x14ac:dyDescent="0.25">
      <c r="A23" s="162" t="s">
        <v>914</v>
      </c>
      <c r="B23" s="310"/>
      <c r="C23" s="300" t="s">
        <v>915</v>
      </c>
      <c r="D23" s="301"/>
      <c r="E23" s="301"/>
      <c r="F23" s="301"/>
      <c r="G23" s="302"/>
      <c r="H23" s="174">
        <v>2188</v>
      </c>
      <c r="I23" s="174">
        <v>3508</v>
      </c>
      <c r="J23" s="303">
        <f t="shared" si="0"/>
        <v>5696</v>
      </c>
      <c r="K23" s="448" t="s">
        <v>1120</v>
      </c>
      <c r="L23" s="174">
        <v>1876</v>
      </c>
      <c r="M23" s="174">
        <v>339</v>
      </c>
      <c r="N23" s="448" t="s">
        <v>1120</v>
      </c>
      <c r="O23" s="303">
        <f t="shared" si="1"/>
        <v>7911</v>
      </c>
    </row>
    <row r="24" spans="1:15" customFormat="1" ht="12.75" customHeight="1" x14ac:dyDescent="0.25">
      <c r="A24" s="162" t="s">
        <v>916</v>
      </c>
      <c r="B24" s="310"/>
      <c r="C24" s="300" t="s">
        <v>917</v>
      </c>
      <c r="D24" s="301"/>
      <c r="E24" s="301"/>
      <c r="F24" s="301"/>
      <c r="G24" s="302"/>
      <c r="H24" s="174">
        <v>3505</v>
      </c>
      <c r="I24" s="174">
        <v>278</v>
      </c>
      <c r="J24" s="303">
        <f t="shared" si="0"/>
        <v>3783</v>
      </c>
      <c r="K24" s="448" t="s">
        <v>1120</v>
      </c>
      <c r="L24" s="174">
        <v>3680</v>
      </c>
      <c r="M24" s="174">
        <v>0</v>
      </c>
      <c r="N24" s="448" t="s">
        <v>1120</v>
      </c>
      <c r="O24" s="303">
        <f t="shared" si="1"/>
        <v>7463</v>
      </c>
    </row>
    <row r="25" spans="1:15" customFormat="1" ht="12.75" customHeight="1" x14ac:dyDescent="0.25">
      <c r="A25" s="162" t="s">
        <v>918</v>
      </c>
      <c r="B25" s="310"/>
      <c r="C25" s="300" t="s">
        <v>919</v>
      </c>
      <c r="D25" s="301"/>
      <c r="E25" s="301"/>
      <c r="F25" s="301"/>
      <c r="G25" s="302"/>
      <c r="H25" s="174">
        <v>1845</v>
      </c>
      <c r="I25" s="174">
        <v>254</v>
      </c>
      <c r="J25" s="303">
        <f t="shared" si="0"/>
        <v>2099</v>
      </c>
      <c r="K25" s="448" t="s">
        <v>1120</v>
      </c>
      <c r="L25" s="174">
        <v>2206</v>
      </c>
      <c r="M25" s="174">
        <v>0</v>
      </c>
      <c r="N25" s="448" t="s">
        <v>1120</v>
      </c>
      <c r="O25" s="303">
        <f t="shared" si="1"/>
        <v>4305</v>
      </c>
    </row>
    <row r="26" spans="1:15" customFormat="1" ht="12.75" customHeight="1" x14ac:dyDescent="0.25">
      <c r="A26" s="162" t="s">
        <v>920</v>
      </c>
      <c r="B26" s="310"/>
      <c r="C26" s="300" t="s">
        <v>921</v>
      </c>
      <c r="D26" s="301"/>
      <c r="E26" s="301"/>
      <c r="F26" s="301"/>
      <c r="G26" s="302"/>
      <c r="H26" s="174">
        <v>7308</v>
      </c>
      <c r="I26" s="174">
        <v>5583</v>
      </c>
      <c r="J26" s="303">
        <f t="shared" si="0"/>
        <v>12891</v>
      </c>
      <c r="K26" s="448" t="s">
        <v>1120</v>
      </c>
      <c r="L26" s="174">
        <v>8805</v>
      </c>
      <c r="M26" s="174">
        <v>73</v>
      </c>
      <c r="N26" s="448" t="s">
        <v>1120</v>
      </c>
      <c r="O26" s="303">
        <f t="shared" si="1"/>
        <v>21769</v>
      </c>
    </row>
    <row r="27" spans="1:15" customFormat="1" ht="12.75" customHeight="1" x14ac:dyDescent="0.25">
      <c r="A27" s="162" t="s">
        <v>922</v>
      </c>
      <c r="B27" s="310"/>
      <c r="C27" s="300" t="s">
        <v>923</v>
      </c>
      <c r="D27" s="301"/>
      <c r="E27" s="301"/>
      <c r="F27" s="301"/>
      <c r="G27" s="302"/>
      <c r="H27" s="174">
        <v>4523</v>
      </c>
      <c r="I27" s="174">
        <v>1257</v>
      </c>
      <c r="J27" s="303">
        <f t="shared" si="0"/>
        <v>5780</v>
      </c>
      <c r="K27" s="448" t="s">
        <v>1120</v>
      </c>
      <c r="L27" s="174">
        <v>2487</v>
      </c>
      <c r="M27" s="174">
        <v>0</v>
      </c>
      <c r="N27" s="448" t="s">
        <v>1120</v>
      </c>
      <c r="O27" s="303">
        <f t="shared" si="1"/>
        <v>8267</v>
      </c>
    </row>
    <row r="28" spans="1:15" customFormat="1" ht="12.75" customHeight="1" x14ac:dyDescent="0.25">
      <c r="A28" s="162" t="s">
        <v>924</v>
      </c>
      <c r="B28" s="310"/>
      <c r="C28" s="300" t="s">
        <v>925</v>
      </c>
      <c r="D28" s="301"/>
      <c r="E28" s="301"/>
      <c r="F28" s="301"/>
      <c r="G28" s="302"/>
      <c r="H28" s="174">
        <v>3605</v>
      </c>
      <c r="I28" s="174">
        <v>313</v>
      </c>
      <c r="J28" s="303">
        <f t="shared" si="0"/>
        <v>3918</v>
      </c>
      <c r="K28" s="448" t="s">
        <v>1120</v>
      </c>
      <c r="L28" s="174">
        <v>1551</v>
      </c>
      <c r="M28" s="174">
        <v>0</v>
      </c>
      <c r="N28" s="448" t="s">
        <v>1120</v>
      </c>
      <c r="O28" s="303">
        <f t="shared" si="1"/>
        <v>5469</v>
      </c>
    </row>
    <row r="29" spans="1:15" customFormat="1" ht="12.75" customHeight="1" x14ac:dyDescent="0.25">
      <c r="A29" s="162" t="s">
        <v>926</v>
      </c>
      <c r="B29" s="310"/>
      <c r="C29" s="300" t="s">
        <v>927</v>
      </c>
      <c r="D29" s="301"/>
      <c r="E29" s="301"/>
      <c r="F29" s="301"/>
      <c r="G29" s="302"/>
      <c r="H29" s="174">
        <v>1752</v>
      </c>
      <c r="I29" s="174">
        <v>266</v>
      </c>
      <c r="J29" s="303">
        <f t="shared" si="0"/>
        <v>2018</v>
      </c>
      <c r="K29" s="448" t="s">
        <v>1120</v>
      </c>
      <c r="L29" s="174">
        <v>1571</v>
      </c>
      <c r="M29" s="174">
        <v>0</v>
      </c>
      <c r="N29" s="448" t="s">
        <v>1120</v>
      </c>
      <c r="O29" s="303">
        <f t="shared" si="1"/>
        <v>3589</v>
      </c>
    </row>
    <row r="30" spans="1:15" customFormat="1" ht="12.75" customHeight="1" x14ac:dyDescent="0.25">
      <c r="A30" s="162" t="s">
        <v>928</v>
      </c>
      <c r="B30" s="310"/>
      <c r="C30" s="300" t="s">
        <v>929</v>
      </c>
      <c r="D30" s="301"/>
      <c r="E30" s="301"/>
      <c r="F30" s="301"/>
      <c r="G30" s="302"/>
      <c r="H30" s="174">
        <v>3207</v>
      </c>
      <c r="I30" s="174">
        <v>673</v>
      </c>
      <c r="J30" s="303">
        <f t="shared" si="0"/>
        <v>3880</v>
      </c>
      <c r="K30" s="448" t="s">
        <v>1120</v>
      </c>
      <c r="L30" s="174">
        <v>1049</v>
      </c>
      <c r="M30" s="174">
        <v>0</v>
      </c>
      <c r="N30" s="448" t="s">
        <v>1120</v>
      </c>
      <c r="O30" s="303">
        <f t="shared" si="1"/>
        <v>4929</v>
      </c>
    </row>
    <row r="31" spans="1:15" customFormat="1" ht="12.75" customHeight="1" x14ac:dyDescent="0.25">
      <c r="A31" s="162" t="s">
        <v>930</v>
      </c>
      <c r="B31" s="310"/>
      <c r="C31" s="300" t="s">
        <v>931</v>
      </c>
      <c r="D31" s="301"/>
      <c r="E31" s="301"/>
      <c r="F31" s="301"/>
      <c r="G31" s="302"/>
      <c r="H31" s="174">
        <v>974</v>
      </c>
      <c r="I31" s="174">
        <v>142</v>
      </c>
      <c r="J31" s="303">
        <f t="shared" si="0"/>
        <v>1116</v>
      </c>
      <c r="K31" s="448" t="s">
        <v>1120</v>
      </c>
      <c r="L31" s="174">
        <v>241</v>
      </c>
      <c r="M31" s="174">
        <v>0</v>
      </c>
      <c r="N31" s="448" t="s">
        <v>1120</v>
      </c>
      <c r="O31" s="303">
        <f t="shared" si="1"/>
        <v>1357</v>
      </c>
    </row>
    <row r="32" spans="1:15" customFormat="1" ht="12.75" customHeight="1" x14ac:dyDescent="0.25">
      <c r="A32" s="162" t="s">
        <v>932</v>
      </c>
      <c r="B32" s="310"/>
      <c r="C32" s="300" t="s">
        <v>933</v>
      </c>
      <c r="D32" s="301"/>
      <c r="E32" s="301"/>
      <c r="F32" s="301"/>
      <c r="G32" s="302"/>
      <c r="H32" s="174">
        <v>1858</v>
      </c>
      <c r="I32" s="174">
        <v>145</v>
      </c>
      <c r="J32" s="303">
        <f t="shared" si="0"/>
        <v>2003</v>
      </c>
      <c r="K32" s="448" t="s">
        <v>1120</v>
      </c>
      <c r="L32" s="174">
        <v>439</v>
      </c>
      <c r="M32" s="174">
        <v>0</v>
      </c>
      <c r="N32" s="448" t="s">
        <v>1120</v>
      </c>
      <c r="O32" s="303">
        <f t="shared" si="1"/>
        <v>2442</v>
      </c>
    </row>
    <row r="33" spans="1:15" customFormat="1" ht="12.75" customHeight="1" x14ac:dyDescent="0.25">
      <c r="A33" s="162" t="s">
        <v>934</v>
      </c>
      <c r="B33" s="310"/>
      <c r="C33" s="300" t="s">
        <v>935</v>
      </c>
      <c r="D33" s="301"/>
      <c r="E33" s="301"/>
      <c r="F33" s="301"/>
      <c r="G33" s="302"/>
      <c r="H33" s="174">
        <v>3603</v>
      </c>
      <c r="I33" s="174">
        <v>387</v>
      </c>
      <c r="J33" s="303">
        <f t="shared" si="0"/>
        <v>3990</v>
      </c>
      <c r="K33" s="448" t="s">
        <v>1120</v>
      </c>
      <c r="L33" s="174">
        <v>950</v>
      </c>
      <c r="M33" s="174">
        <v>0</v>
      </c>
      <c r="N33" s="448" t="s">
        <v>1120</v>
      </c>
      <c r="O33" s="303">
        <f t="shared" si="1"/>
        <v>4940</v>
      </c>
    </row>
    <row r="34" spans="1:15" customFormat="1" ht="12.75" customHeight="1" x14ac:dyDescent="0.25">
      <c r="A34" s="162" t="s">
        <v>936</v>
      </c>
      <c r="B34" s="310"/>
      <c r="C34" s="300" t="s">
        <v>937</v>
      </c>
      <c r="D34" s="301"/>
      <c r="E34" s="301"/>
      <c r="F34" s="301"/>
      <c r="G34" s="302"/>
      <c r="H34" s="174">
        <v>3558</v>
      </c>
      <c r="I34" s="174">
        <v>626</v>
      </c>
      <c r="J34" s="303">
        <f t="shared" si="0"/>
        <v>4184</v>
      </c>
      <c r="K34" s="448" t="s">
        <v>1120</v>
      </c>
      <c r="L34" s="174">
        <v>1328</v>
      </c>
      <c r="M34" s="174">
        <v>0</v>
      </c>
      <c r="N34" s="448" t="s">
        <v>1120</v>
      </c>
      <c r="O34" s="303">
        <f t="shared" si="1"/>
        <v>5512</v>
      </c>
    </row>
    <row r="35" spans="1:15" customFormat="1" ht="12.75" customHeight="1" x14ac:dyDescent="0.25">
      <c r="A35" s="162" t="s">
        <v>938</v>
      </c>
      <c r="B35" s="310"/>
      <c r="C35" s="300" t="s">
        <v>939</v>
      </c>
      <c r="D35" s="301"/>
      <c r="E35" s="301"/>
      <c r="F35" s="301"/>
      <c r="G35" s="302"/>
      <c r="H35" s="174">
        <v>6830</v>
      </c>
      <c r="I35" s="174">
        <v>1671</v>
      </c>
      <c r="J35" s="303">
        <f t="shared" si="0"/>
        <v>8501</v>
      </c>
      <c r="K35" s="448" t="s">
        <v>1120</v>
      </c>
      <c r="L35" s="174">
        <v>1243</v>
      </c>
      <c r="M35" s="174">
        <v>324</v>
      </c>
      <c r="N35" s="448" t="s">
        <v>1120</v>
      </c>
      <c r="O35" s="303">
        <f t="shared" si="1"/>
        <v>10068</v>
      </c>
    </row>
    <row r="36" spans="1:15" customFormat="1" ht="12.75" customHeight="1" x14ac:dyDescent="0.25">
      <c r="A36" s="162" t="s">
        <v>940</v>
      </c>
      <c r="B36" s="310"/>
      <c r="C36" s="300" t="s">
        <v>941</v>
      </c>
      <c r="D36" s="301"/>
      <c r="E36" s="301"/>
      <c r="F36" s="301"/>
      <c r="G36" s="302"/>
      <c r="H36" s="174">
        <v>2802</v>
      </c>
      <c r="I36" s="174">
        <v>268</v>
      </c>
      <c r="J36" s="303">
        <f t="shared" si="0"/>
        <v>3070</v>
      </c>
      <c r="K36" s="448" t="s">
        <v>1120</v>
      </c>
      <c r="L36" s="174">
        <v>699</v>
      </c>
      <c r="M36" s="174">
        <v>0</v>
      </c>
      <c r="N36" s="448" t="s">
        <v>1120</v>
      </c>
      <c r="O36" s="303">
        <f t="shared" si="1"/>
        <v>3769</v>
      </c>
    </row>
    <row r="37" spans="1:15" customFormat="1" ht="12.75" customHeight="1" x14ac:dyDescent="0.25">
      <c r="A37" s="162" t="s">
        <v>942</v>
      </c>
      <c r="B37" s="310"/>
      <c r="C37" s="300" t="s">
        <v>943</v>
      </c>
      <c r="D37" s="301"/>
      <c r="E37" s="301"/>
      <c r="F37" s="301"/>
      <c r="G37" s="302"/>
      <c r="H37" s="174">
        <v>4045</v>
      </c>
      <c r="I37" s="174">
        <v>2888</v>
      </c>
      <c r="J37" s="303">
        <f t="shared" si="0"/>
        <v>6933</v>
      </c>
      <c r="K37" s="448" t="s">
        <v>1120</v>
      </c>
      <c r="L37" s="174">
        <v>1776</v>
      </c>
      <c r="M37" s="174">
        <v>0</v>
      </c>
      <c r="N37" s="448" t="s">
        <v>1120</v>
      </c>
      <c r="O37" s="303">
        <f t="shared" si="1"/>
        <v>8709</v>
      </c>
    </row>
    <row r="38" spans="1:15" customFormat="1" ht="12.75" customHeight="1" x14ac:dyDescent="0.25">
      <c r="A38" s="162" t="s">
        <v>944</v>
      </c>
      <c r="B38" s="310"/>
      <c r="C38" s="300" t="s">
        <v>945</v>
      </c>
      <c r="D38" s="301"/>
      <c r="E38" s="301"/>
      <c r="F38" s="301"/>
      <c r="G38" s="302"/>
      <c r="H38" s="174">
        <v>9549</v>
      </c>
      <c r="I38" s="174">
        <v>4599</v>
      </c>
      <c r="J38" s="303">
        <f t="shared" si="0"/>
        <v>14148</v>
      </c>
      <c r="K38" s="448" t="s">
        <v>1120</v>
      </c>
      <c r="L38" s="174">
        <v>6866</v>
      </c>
      <c r="M38" s="174">
        <v>12</v>
      </c>
      <c r="N38" s="448" t="s">
        <v>1120</v>
      </c>
      <c r="O38" s="303">
        <f t="shared" si="1"/>
        <v>21026</v>
      </c>
    </row>
    <row r="39" spans="1:15" customFormat="1" ht="12.75" customHeight="1" x14ac:dyDescent="0.25">
      <c r="A39" s="162" t="s">
        <v>946</v>
      </c>
      <c r="B39" s="310"/>
      <c r="C39" s="300" t="s">
        <v>947</v>
      </c>
      <c r="D39" s="301"/>
      <c r="E39" s="301"/>
      <c r="F39" s="301"/>
      <c r="G39" s="302"/>
      <c r="H39" s="174">
        <v>0</v>
      </c>
      <c r="I39" s="174">
        <v>0</v>
      </c>
      <c r="J39" s="303">
        <f t="shared" si="0"/>
        <v>0</v>
      </c>
      <c r="K39" s="448" t="s">
        <v>1120</v>
      </c>
      <c r="L39" s="174">
        <v>0</v>
      </c>
      <c r="M39" s="174">
        <v>0</v>
      </c>
      <c r="N39" s="448" t="s">
        <v>1120</v>
      </c>
      <c r="O39" s="303">
        <f t="shared" si="1"/>
        <v>0</v>
      </c>
    </row>
    <row r="40" spans="1:15" customFormat="1" ht="12.75" customHeight="1" x14ac:dyDescent="0.25">
      <c r="A40" s="162" t="s">
        <v>948</v>
      </c>
      <c r="B40" s="310"/>
      <c r="C40" s="300" t="s">
        <v>949</v>
      </c>
      <c r="D40" s="301"/>
      <c r="E40" s="301"/>
      <c r="F40" s="301"/>
      <c r="G40" s="302"/>
      <c r="H40" s="174">
        <v>9710</v>
      </c>
      <c r="I40" s="174">
        <v>2986</v>
      </c>
      <c r="J40" s="303">
        <f t="shared" si="0"/>
        <v>12696</v>
      </c>
      <c r="K40" s="448" t="s">
        <v>1120</v>
      </c>
      <c r="L40" s="174">
        <v>3302</v>
      </c>
      <c r="M40" s="174">
        <v>102</v>
      </c>
      <c r="N40" s="448" t="s">
        <v>1120</v>
      </c>
      <c r="O40" s="303">
        <f t="shared" si="1"/>
        <v>16100</v>
      </c>
    </row>
    <row r="41" spans="1:15" customFormat="1" ht="12.75" customHeight="1" x14ac:dyDescent="0.25">
      <c r="A41" s="162" t="s">
        <v>950</v>
      </c>
      <c r="B41" s="310"/>
      <c r="C41" s="300" t="s">
        <v>951</v>
      </c>
      <c r="D41" s="301"/>
      <c r="E41" s="301"/>
      <c r="F41" s="301"/>
      <c r="G41" s="302"/>
      <c r="H41" s="174">
        <v>3459</v>
      </c>
      <c r="I41" s="174">
        <v>1165</v>
      </c>
      <c r="J41" s="303">
        <f t="shared" si="0"/>
        <v>4624</v>
      </c>
      <c r="K41" s="448" t="s">
        <v>1120</v>
      </c>
      <c r="L41" s="174">
        <v>644</v>
      </c>
      <c r="M41" s="174">
        <v>0</v>
      </c>
      <c r="N41" s="448" t="s">
        <v>1120</v>
      </c>
      <c r="O41" s="303">
        <f t="shared" si="1"/>
        <v>5268</v>
      </c>
    </row>
    <row r="42" spans="1:15" customFormat="1" ht="12.75" customHeight="1" x14ac:dyDescent="0.25">
      <c r="A42" s="162" t="s">
        <v>952</v>
      </c>
      <c r="B42" s="310"/>
      <c r="C42" s="300" t="s">
        <v>953</v>
      </c>
      <c r="D42" s="301"/>
      <c r="E42" s="301"/>
      <c r="F42" s="301"/>
      <c r="G42" s="302"/>
      <c r="H42" s="174">
        <v>7338</v>
      </c>
      <c r="I42" s="174">
        <v>1904</v>
      </c>
      <c r="J42" s="303">
        <f t="shared" si="0"/>
        <v>9242</v>
      </c>
      <c r="K42" s="448" t="s">
        <v>1120</v>
      </c>
      <c r="L42" s="174">
        <v>1078</v>
      </c>
      <c r="M42" s="174">
        <v>12</v>
      </c>
      <c r="N42" s="448" t="s">
        <v>1120</v>
      </c>
      <c r="O42" s="303">
        <f t="shared" si="1"/>
        <v>10332</v>
      </c>
    </row>
    <row r="43" spans="1:15" customFormat="1" ht="12.75" customHeight="1" x14ac:dyDescent="0.25">
      <c r="A43" s="162" t="s">
        <v>954</v>
      </c>
      <c r="B43" s="310"/>
      <c r="C43" s="300" t="s">
        <v>955</v>
      </c>
      <c r="D43" s="301"/>
      <c r="E43" s="301"/>
      <c r="F43" s="301"/>
      <c r="G43" s="302"/>
      <c r="H43" s="174">
        <v>3025</v>
      </c>
      <c r="I43" s="174">
        <v>827</v>
      </c>
      <c r="J43" s="303">
        <f t="shared" si="0"/>
        <v>3852</v>
      </c>
      <c r="K43" s="448" t="s">
        <v>1120</v>
      </c>
      <c r="L43" s="174">
        <v>1320</v>
      </c>
      <c r="M43" s="174">
        <v>0</v>
      </c>
      <c r="N43" s="448" t="s">
        <v>1120</v>
      </c>
      <c r="O43" s="303">
        <f t="shared" si="1"/>
        <v>5172</v>
      </c>
    </row>
    <row r="44" spans="1:15" customFormat="1" ht="12.75" customHeight="1" x14ac:dyDescent="0.25">
      <c r="A44" s="162" t="s">
        <v>956</v>
      </c>
      <c r="B44" s="310"/>
      <c r="C44" s="300" t="s">
        <v>957</v>
      </c>
      <c r="D44" s="301"/>
      <c r="E44" s="301"/>
      <c r="F44" s="301"/>
      <c r="G44" s="302"/>
      <c r="H44" s="174">
        <v>3977</v>
      </c>
      <c r="I44" s="174">
        <v>1372</v>
      </c>
      <c r="J44" s="303">
        <f t="shared" si="0"/>
        <v>5349</v>
      </c>
      <c r="K44" s="448" t="s">
        <v>1120</v>
      </c>
      <c r="L44" s="174">
        <v>889</v>
      </c>
      <c r="M44" s="174">
        <v>8</v>
      </c>
      <c r="N44" s="448" t="s">
        <v>1120</v>
      </c>
      <c r="O44" s="303">
        <f t="shared" si="1"/>
        <v>6246</v>
      </c>
    </row>
    <row r="45" spans="1:15" customFormat="1" ht="12.75" customHeight="1" x14ac:dyDescent="0.25">
      <c r="A45" s="162" t="s">
        <v>958</v>
      </c>
      <c r="B45" s="310"/>
      <c r="C45" s="300" t="s">
        <v>959</v>
      </c>
      <c r="D45" s="301"/>
      <c r="E45" s="301"/>
      <c r="F45" s="301"/>
      <c r="G45" s="302"/>
      <c r="H45" s="174">
        <v>1405</v>
      </c>
      <c r="I45" s="174">
        <v>402</v>
      </c>
      <c r="J45" s="303">
        <f t="shared" si="0"/>
        <v>1807</v>
      </c>
      <c r="K45" s="448" t="s">
        <v>1120</v>
      </c>
      <c r="L45" s="174">
        <v>795</v>
      </c>
      <c r="M45" s="174">
        <v>0</v>
      </c>
      <c r="N45" s="448" t="s">
        <v>1120</v>
      </c>
      <c r="O45" s="303">
        <f t="shared" si="1"/>
        <v>2602</v>
      </c>
    </row>
    <row r="46" spans="1:15" customFormat="1" ht="12.75" customHeight="1" x14ac:dyDescent="0.25">
      <c r="A46" s="162" t="s">
        <v>960</v>
      </c>
      <c r="B46" s="310"/>
      <c r="C46" s="300" t="s">
        <v>961</v>
      </c>
      <c r="D46" s="301"/>
      <c r="E46" s="301"/>
      <c r="F46" s="301"/>
      <c r="G46" s="302"/>
      <c r="H46" s="174">
        <v>2309</v>
      </c>
      <c r="I46" s="174">
        <v>1232</v>
      </c>
      <c r="J46" s="303">
        <f t="shared" si="0"/>
        <v>3541</v>
      </c>
      <c r="K46" s="448" t="s">
        <v>1120</v>
      </c>
      <c r="L46" s="174">
        <v>1274</v>
      </c>
      <c r="M46" s="174">
        <v>56</v>
      </c>
      <c r="N46" s="448" t="s">
        <v>1120</v>
      </c>
      <c r="O46" s="303">
        <f t="shared" si="1"/>
        <v>4871</v>
      </c>
    </row>
    <row r="47" spans="1:15" customFormat="1" ht="12.75" customHeight="1" x14ac:dyDescent="0.25">
      <c r="A47" s="162" t="s">
        <v>962</v>
      </c>
      <c r="B47" s="310"/>
      <c r="C47" s="300" t="s">
        <v>963</v>
      </c>
      <c r="D47" s="301"/>
      <c r="E47" s="301"/>
      <c r="F47" s="301"/>
      <c r="G47" s="302"/>
      <c r="H47" s="174">
        <v>2221</v>
      </c>
      <c r="I47" s="174">
        <v>395</v>
      </c>
      <c r="J47" s="303">
        <f t="shared" si="0"/>
        <v>2616</v>
      </c>
      <c r="K47" s="448" t="s">
        <v>1120</v>
      </c>
      <c r="L47" s="174">
        <v>1251</v>
      </c>
      <c r="M47" s="174">
        <v>0</v>
      </c>
      <c r="N47" s="448" t="s">
        <v>1120</v>
      </c>
      <c r="O47" s="303">
        <f t="shared" si="1"/>
        <v>3867</v>
      </c>
    </row>
    <row r="48" spans="1:15" customFormat="1" ht="12.75" customHeight="1" x14ac:dyDescent="0.25">
      <c r="A48" s="162" t="s">
        <v>964</v>
      </c>
      <c r="B48" s="310"/>
      <c r="C48" s="300" t="s">
        <v>965</v>
      </c>
      <c r="D48" s="301"/>
      <c r="E48" s="301"/>
      <c r="F48" s="301"/>
      <c r="G48" s="302"/>
      <c r="H48" s="174">
        <v>6551</v>
      </c>
      <c r="I48" s="174">
        <v>4345</v>
      </c>
      <c r="J48" s="303">
        <f t="shared" si="0"/>
        <v>10896</v>
      </c>
      <c r="K48" s="448" t="s">
        <v>1120</v>
      </c>
      <c r="L48" s="174">
        <v>1965</v>
      </c>
      <c r="M48" s="174">
        <v>14</v>
      </c>
      <c r="N48" s="448" t="s">
        <v>1120</v>
      </c>
      <c r="O48" s="303">
        <f t="shared" si="1"/>
        <v>12875</v>
      </c>
    </row>
    <row r="49" spans="1:22" customFormat="1" ht="12.75" customHeight="1" x14ac:dyDescent="0.25">
      <c r="A49" s="162" t="s">
        <v>966</v>
      </c>
      <c r="B49" s="310"/>
      <c r="C49" s="300" t="s">
        <v>967</v>
      </c>
      <c r="D49" s="301"/>
      <c r="E49" s="301"/>
      <c r="F49" s="301"/>
      <c r="G49" s="302"/>
      <c r="H49" s="174">
        <v>1284</v>
      </c>
      <c r="I49" s="174">
        <v>91</v>
      </c>
      <c r="J49" s="303">
        <f t="shared" si="0"/>
        <v>1375</v>
      </c>
      <c r="K49" s="448" t="s">
        <v>1120</v>
      </c>
      <c r="L49" s="174">
        <v>641</v>
      </c>
      <c r="M49" s="174">
        <v>0</v>
      </c>
      <c r="N49" s="448" t="s">
        <v>1120</v>
      </c>
      <c r="O49" s="303">
        <f t="shared" si="1"/>
        <v>2016</v>
      </c>
    </row>
    <row r="50" spans="1:22" customFormat="1" ht="12.75" customHeight="1" x14ac:dyDescent="0.25">
      <c r="A50" s="162" t="s">
        <v>968</v>
      </c>
      <c r="B50" s="310"/>
      <c r="C50" s="300" t="s">
        <v>969</v>
      </c>
      <c r="D50" s="301"/>
      <c r="E50" s="301"/>
      <c r="F50" s="301"/>
      <c r="G50" s="302"/>
      <c r="H50" s="174">
        <v>0</v>
      </c>
      <c r="I50" s="174">
        <v>0</v>
      </c>
      <c r="J50" s="303">
        <f t="shared" si="0"/>
        <v>0</v>
      </c>
      <c r="K50" s="448" t="s">
        <v>1120</v>
      </c>
      <c r="L50" s="174">
        <v>0</v>
      </c>
      <c r="M50" s="174">
        <v>0</v>
      </c>
      <c r="N50" s="448" t="s">
        <v>1120</v>
      </c>
      <c r="O50" s="303">
        <f t="shared" si="1"/>
        <v>0</v>
      </c>
    </row>
    <row r="51" spans="1:22" customFormat="1" ht="12.75" customHeight="1" x14ac:dyDescent="0.25">
      <c r="A51" s="162" t="s">
        <v>970</v>
      </c>
      <c r="B51" s="304" t="s">
        <v>971</v>
      </c>
      <c r="C51" s="305"/>
      <c r="D51" s="305"/>
      <c r="E51" s="305"/>
      <c r="F51" s="305"/>
      <c r="G51" s="306"/>
      <c r="H51" s="283">
        <f>SUM(H6:H50)</f>
        <v>197291</v>
      </c>
      <c r="I51" s="283">
        <f>SUM(I6:I50)</f>
        <v>94832</v>
      </c>
      <c r="J51" s="283">
        <f>SUM(J6:J50)</f>
        <v>292123</v>
      </c>
      <c r="K51" s="449" t="s">
        <v>1120</v>
      </c>
      <c r="L51" s="283">
        <f>SUM(L6:L50)</f>
        <v>96584</v>
      </c>
      <c r="M51" s="283">
        <f>SUM(M6:M50)</f>
        <v>5988</v>
      </c>
      <c r="N51" s="449" t="s">
        <v>1120</v>
      </c>
      <c r="O51" s="283">
        <f t="shared" si="1"/>
        <v>394695</v>
      </c>
    </row>
    <row r="52" spans="1:22" customFormat="1" ht="12.75" customHeight="1" x14ac:dyDescent="0.25">
      <c r="A52" s="162"/>
      <c r="B52" s="11"/>
      <c r="C52" s="301"/>
      <c r="D52" s="301"/>
      <c r="E52" s="301"/>
      <c r="F52" s="301"/>
      <c r="G52" s="20"/>
      <c r="H52" s="19"/>
      <c r="I52" s="19"/>
      <c r="J52" s="19"/>
      <c r="K52" s="448"/>
      <c r="L52" s="19"/>
      <c r="M52" s="19"/>
      <c r="N52" s="448"/>
      <c r="O52" s="19"/>
    </row>
    <row r="53" spans="1:22" customFormat="1" ht="12.75" customHeight="1" x14ac:dyDescent="0.25">
      <c r="A53" s="162">
        <v>2</v>
      </c>
      <c r="B53" s="299" t="s">
        <v>972</v>
      </c>
      <c r="C53" s="300"/>
      <c r="D53" s="300"/>
      <c r="E53" s="300"/>
      <c r="F53" s="300"/>
      <c r="G53" s="308"/>
      <c r="H53" s="174">
        <v>5</v>
      </c>
      <c r="I53" s="174">
        <v>27612</v>
      </c>
      <c r="J53" s="303">
        <f>SUM(H53:I53)</f>
        <v>27617</v>
      </c>
      <c r="K53" s="448" t="s">
        <v>1120</v>
      </c>
      <c r="L53" s="174">
        <v>12178</v>
      </c>
      <c r="M53" s="174">
        <v>3950</v>
      </c>
      <c r="N53" s="448" t="s">
        <v>1120</v>
      </c>
      <c r="O53" s="303">
        <f>SUM(J53:M53)</f>
        <v>43745</v>
      </c>
    </row>
    <row r="54" spans="1:22" customFormat="1" ht="12.75" customHeight="1" x14ac:dyDescent="0.25">
      <c r="A54" s="162"/>
      <c r="B54" s="11"/>
      <c r="C54" s="301"/>
      <c r="D54" s="301"/>
      <c r="E54" s="301"/>
      <c r="F54" s="301"/>
      <c r="G54" s="20"/>
      <c r="H54" s="19"/>
      <c r="I54" s="19"/>
      <c r="J54" s="19"/>
      <c r="K54" s="448"/>
      <c r="L54" s="19"/>
      <c r="M54" s="19"/>
      <c r="N54" s="448"/>
      <c r="O54" s="19"/>
    </row>
    <row r="55" spans="1:22" customFormat="1" ht="12.75" customHeight="1" x14ac:dyDescent="0.25">
      <c r="A55" s="162">
        <v>3</v>
      </c>
      <c r="B55" s="296" t="s">
        <v>973</v>
      </c>
      <c r="C55" s="297"/>
      <c r="D55" s="297"/>
      <c r="E55" s="297"/>
      <c r="F55" s="297"/>
      <c r="G55" s="298"/>
      <c r="H55" s="166"/>
      <c r="I55" s="166"/>
      <c r="J55" s="166"/>
      <c r="K55" s="447"/>
      <c r="L55" s="166"/>
      <c r="M55" s="166"/>
      <c r="N55" s="447"/>
      <c r="O55" s="166"/>
    </row>
    <row r="56" spans="1:22" customFormat="1" ht="12.75" customHeight="1" x14ac:dyDescent="0.25">
      <c r="A56" s="162" t="s">
        <v>736</v>
      </c>
      <c r="B56" s="310"/>
      <c r="C56" s="300" t="s">
        <v>974</v>
      </c>
      <c r="D56" s="301"/>
      <c r="E56" s="301"/>
      <c r="F56" s="301"/>
      <c r="G56" s="302"/>
      <c r="H56" s="174">
        <v>287</v>
      </c>
      <c r="I56" s="174">
        <v>28703</v>
      </c>
      <c r="J56" s="303">
        <f>SUM(H56:I56)</f>
        <v>28990</v>
      </c>
      <c r="K56" s="448" t="s">
        <v>1120</v>
      </c>
      <c r="L56" s="174">
        <v>22263</v>
      </c>
      <c r="M56" s="174">
        <v>267</v>
      </c>
      <c r="N56" s="448" t="s">
        <v>1120</v>
      </c>
      <c r="O56" s="303">
        <f>SUM(J56:M56)</f>
        <v>51520</v>
      </c>
    </row>
    <row r="57" spans="1:22" customFormat="1" ht="12.75" customHeight="1" x14ac:dyDescent="0.25">
      <c r="A57" s="162" t="s">
        <v>738</v>
      </c>
      <c r="B57" s="450"/>
      <c r="C57" s="305" t="s">
        <v>1121</v>
      </c>
      <c r="D57" s="451"/>
      <c r="E57" s="451"/>
      <c r="F57" s="451"/>
      <c r="G57" s="452"/>
      <c r="H57" s="283">
        <f>H60</f>
        <v>0</v>
      </c>
      <c r="I57" s="283">
        <f>I60</f>
        <v>6775</v>
      </c>
      <c r="J57" s="283">
        <f>SUM(H57:I57)</f>
        <v>6775</v>
      </c>
      <c r="K57" s="449" t="s">
        <v>1120</v>
      </c>
      <c r="L57" s="283">
        <f>SUM(L58:L60)</f>
        <v>17569</v>
      </c>
      <c r="M57" s="283">
        <f>M60</f>
        <v>0</v>
      </c>
      <c r="N57" s="449" t="s">
        <v>1120</v>
      </c>
      <c r="O57" s="283">
        <f>SUM(J57:M57)</f>
        <v>24344</v>
      </c>
      <c r="Q57" s="143"/>
      <c r="R57" s="143"/>
      <c r="S57" s="143"/>
      <c r="T57" s="143"/>
      <c r="U57" s="143"/>
      <c r="V57" s="143"/>
    </row>
    <row r="58" spans="1:22" customFormat="1" ht="12.75" customHeight="1" x14ac:dyDescent="0.25">
      <c r="A58" s="162" t="s">
        <v>996</v>
      </c>
      <c r="B58" s="453"/>
      <c r="C58" s="426"/>
      <c r="D58" s="300" t="s">
        <v>1122</v>
      </c>
      <c r="E58" s="426"/>
      <c r="F58" s="426"/>
      <c r="G58" s="431"/>
      <c r="H58" s="448" t="s">
        <v>1120</v>
      </c>
      <c r="I58" s="448" t="s">
        <v>1120</v>
      </c>
      <c r="J58" s="448" t="s">
        <v>1120</v>
      </c>
      <c r="K58" s="448" t="s">
        <v>1120</v>
      </c>
      <c r="L58" s="174">
        <v>1975</v>
      </c>
      <c r="M58" s="448" t="s">
        <v>1120</v>
      </c>
      <c r="N58" s="448" t="s">
        <v>1120</v>
      </c>
      <c r="O58" s="303">
        <f>L58</f>
        <v>1975</v>
      </c>
      <c r="Q58" s="143"/>
      <c r="R58" s="143"/>
      <c r="S58" s="143"/>
      <c r="T58" s="143"/>
      <c r="U58" s="143"/>
      <c r="V58" s="143"/>
    </row>
    <row r="59" spans="1:22" customFormat="1" ht="12.75" customHeight="1" x14ac:dyDescent="0.25">
      <c r="A59" s="162" t="s">
        <v>998</v>
      </c>
      <c r="B59" s="453"/>
      <c r="C59" s="426"/>
      <c r="D59" s="300" t="s">
        <v>1123</v>
      </c>
      <c r="E59" s="426"/>
      <c r="F59" s="426"/>
      <c r="G59" s="431"/>
      <c r="H59" s="448" t="s">
        <v>1120</v>
      </c>
      <c r="I59" s="448" t="s">
        <v>1120</v>
      </c>
      <c r="J59" s="448" t="s">
        <v>1120</v>
      </c>
      <c r="K59" s="448" t="s">
        <v>1120</v>
      </c>
      <c r="L59" s="174">
        <v>12665</v>
      </c>
      <c r="M59" s="448" t="s">
        <v>1120</v>
      </c>
      <c r="N59" s="448" t="s">
        <v>1120</v>
      </c>
      <c r="O59" s="303">
        <f>L59</f>
        <v>12665</v>
      </c>
      <c r="Q59" s="143"/>
      <c r="R59" s="143"/>
      <c r="S59" s="143"/>
      <c r="T59" s="143"/>
      <c r="U59" s="143"/>
      <c r="V59" s="143"/>
    </row>
    <row r="60" spans="1:22" customFormat="1" ht="12.75" customHeight="1" x14ac:dyDescent="0.25">
      <c r="A60" s="162" t="s">
        <v>1000</v>
      </c>
      <c r="B60" s="453"/>
      <c r="C60" s="426"/>
      <c r="D60" s="300" t="s">
        <v>1124</v>
      </c>
      <c r="E60" s="426"/>
      <c r="F60" s="426"/>
      <c r="G60" s="431"/>
      <c r="H60" s="174">
        <v>0</v>
      </c>
      <c r="I60" s="174">
        <v>6775</v>
      </c>
      <c r="J60" s="303">
        <f>SUM(H60:I60)</f>
        <v>6775</v>
      </c>
      <c r="K60" s="448" t="s">
        <v>1120</v>
      </c>
      <c r="L60" s="174">
        <v>2929</v>
      </c>
      <c r="M60" s="174">
        <v>0</v>
      </c>
      <c r="N60" s="448" t="s">
        <v>1120</v>
      </c>
      <c r="O60" s="303">
        <f>SUM(J60:M60)</f>
        <v>9704</v>
      </c>
    </row>
    <row r="61" spans="1:22" customFormat="1" ht="12.75" customHeight="1" x14ac:dyDescent="0.25">
      <c r="A61" s="162" t="s">
        <v>740</v>
      </c>
      <c r="B61" s="310"/>
      <c r="C61" s="300" t="s">
        <v>976</v>
      </c>
      <c r="D61" s="301"/>
      <c r="E61" s="301"/>
      <c r="F61" s="301"/>
      <c r="G61" s="302"/>
      <c r="H61" s="174">
        <v>40</v>
      </c>
      <c r="I61" s="174">
        <v>9249</v>
      </c>
      <c r="J61" s="303">
        <f>SUM(H61:I61)</f>
        <v>9289</v>
      </c>
      <c r="K61" s="448" t="s">
        <v>1120</v>
      </c>
      <c r="L61" s="174">
        <v>13750</v>
      </c>
      <c r="M61" s="174">
        <v>211</v>
      </c>
      <c r="N61" s="448" t="s">
        <v>1120</v>
      </c>
      <c r="O61" s="303">
        <f>SUM(J61:M61)</f>
        <v>23250</v>
      </c>
    </row>
    <row r="62" spans="1:22" customFormat="1" ht="12.75" customHeight="1" x14ac:dyDescent="0.25">
      <c r="A62" s="162" t="s">
        <v>742</v>
      </c>
      <c r="B62" s="304" t="s">
        <v>977</v>
      </c>
      <c r="C62" s="305"/>
      <c r="D62" s="305"/>
      <c r="E62" s="305"/>
      <c r="F62" s="305"/>
      <c r="G62" s="306"/>
      <c r="H62" s="283">
        <f>H56+H57+H61</f>
        <v>327</v>
      </c>
      <c r="I62" s="283">
        <f>I56+I57+I61</f>
        <v>44727</v>
      </c>
      <c r="J62" s="283">
        <f>J56+J57+J61</f>
        <v>45054</v>
      </c>
      <c r="K62" s="449" t="s">
        <v>1120</v>
      </c>
      <c r="L62" s="283">
        <f>L56+L57+L61</f>
        <v>53582</v>
      </c>
      <c r="M62" s="283">
        <f>M56+M57+M61</f>
        <v>478</v>
      </c>
      <c r="N62" s="449" t="s">
        <v>1120</v>
      </c>
      <c r="O62" s="283">
        <f>SUM(J62:M62)</f>
        <v>99114</v>
      </c>
    </row>
    <row r="63" spans="1:22" customFormat="1" ht="12.75" customHeight="1" x14ac:dyDescent="0.25">
      <c r="A63" s="162"/>
      <c r="B63" s="311"/>
      <c r="C63" s="312"/>
      <c r="D63" s="312"/>
      <c r="E63" s="312"/>
      <c r="F63" s="312"/>
      <c r="G63" s="313"/>
      <c r="H63" s="19"/>
      <c r="I63" s="19"/>
      <c r="J63" s="19"/>
      <c r="K63" s="454"/>
      <c r="L63" s="19"/>
      <c r="M63" s="19"/>
      <c r="N63" s="454"/>
      <c r="O63" s="19"/>
    </row>
    <row r="64" spans="1:22" customFormat="1" ht="12.75" customHeight="1" x14ac:dyDescent="0.25">
      <c r="A64" s="162">
        <v>4</v>
      </c>
      <c r="B64" s="296" t="s">
        <v>1125</v>
      </c>
      <c r="C64" s="297"/>
      <c r="D64" s="297"/>
      <c r="E64" s="297"/>
      <c r="F64" s="297"/>
      <c r="G64" s="298"/>
      <c r="H64" s="166"/>
      <c r="I64" s="166"/>
      <c r="J64" s="166"/>
      <c r="K64" s="447"/>
      <c r="L64" s="166"/>
      <c r="M64" s="166"/>
      <c r="N64" s="447"/>
      <c r="O64" s="166"/>
    </row>
    <row r="65" spans="1:15" customFormat="1" ht="12.75" customHeight="1" x14ac:dyDescent="0.25">
      <c r="A65" s="162" t="s">
        <v>707</v>
      </c>
      <c r="B65" s="310"/>
      <c r="C65" s="300" t="s">
        <v>1126</v>
      </c>
      <c r="D65" s="301"/>
      <c r="E65" s="301"/>
      <c r="F65" s="301"/>
      <c r="G65" s="302"/>
      <c r="H65" s="448" t="s">
        <v>1120</v>
      </c>
      <c r="I65" s="174">
        <v>1603</v>
      </c>
      <c r="J65" s="303">
        <f>I65</f>
        <v>1603</v>
      </c>
      <c r="K65" s="448" t="s">
        <v>1120</v>
      </c>
      <c r="L65" s="174">
        <v>14082</v>
      </c>
      <c r="M65" s="448" t="s">
        <v>1120</v>
      </c>
      <c r="N65" s="174">
        <v>0</v>
      </c>
      <c r="O65" s="303">
        <f>SUM(J65:N65)</f>
        <v>15685</v>
      </c>
    </row>
    <row r="66" spans="1:15" customFormat="1" ht="12.75" customHeight="1" x14ac:dyDescent="0.25">
      <c r="A66" s="162" t="s">
        <v>708</v>
      </c>
      <c r="B66" s="310"/>
      <c r="C66" s="300" t="s">
        <v>1127</v>
      </c>
      <c r="D66" s="301"/>
      <c r="E66" s="301"/>
      <c r="F66" s="301"/>
      <c r="G66" s="302"/>
      <c r="H66" s="448" t="s">
        <v>1120</v>
      </c>
      <c r="I66" s="174">
        <v>20402</v>
      </c>
      <c r="J66" s="303">
        <f>I66</f>
        <v>20402</v>
      </c>
      <c r="K66" s="15" t="s">
        <v>1120</v>
      </c>
      <c r="L66" s="174">
        <v>30866</v>
      </c>
      <c r="M66" s="174">
        <v>36327</v>
      </c>
      <c r="N66" s="174">
        <v>0</v>
      </c>
      <c r="O66" s="303">
        <f>SUM(J66:N66)</f>
        <v>87595</v>
      </c>
    </row>
    <row r="67" spans="1:15" customFormat="1" ht="12.75" customHeight="1" x14ac:dyDescent="0.25">
      <c r="A67" s="162" t="s">
        <v>709</v>
      </c>
      <c r="B67" s="304" t="s">
        <v>1128</v>
      </c>
      <c r="C67" s="305"/>
      <c r="D67" s="305"/>
      <c r="E67" s="305"/>
      <c r="F67" s="305"/>
      <c r="G67" s="306"/>
      <c r="H67" s="449" t="s">
        <v>1120</v>
      </c>
      <c r="I67" s="183">
        <f>SUM(I65:I66)</f>
        <v>22005</v>
      </c>
      <c r="J67" s="183">
        <f>SUM(J65:J66)</f>
        <v>22005</v>
      </c>
      <c r="K67" s="183" t="s">
        <v>1120</v>
      </c>
      <c r="L67" s="183">
        <f>SUM(L65:L66)</f>
        <v>44948</v>
      </c>
      <c r="M67" s="183">
        <f>SUM(M66)</f>
        <v>36327</v>
      </c>
      <c r="N67" s="183">
        <f>SUM(N65:N66)</f>
        <v>0</v>
      </c>
      <c r="O67" s="183">
        <f>SUM(J67:N67)</f>
        <v>103280</v>
      </c>
    </row>
    <row r="68" spans="1:15" customFormat="1" ht="12.75" customHeight="1" x14ac:dyDescent="0.25">
      <c r="A68" s="162"/>
      <c r="B68" s="311"/>
      <c r="C68" s="312"/>
      <c r="D68" s="312"/>
      <c r="E68" s="312"/>
      <c r="F68" s="312"/>
      <c r="G68" s="313"/>
      <c r="H68" s="19"/>
      <c r="I68" s="19"/>
      <c r="J68" s="19"/>
      <c r="K68" s="454"/>
      <c r="L68" s="19"/>
      <c r="M68" s="19"/>
      <c r="N68" s="454"/>
      <c r="O68" s="19"/>
    </row>
    <row r="69" spans="1:15" customFormat="1" ht="12.75" customHeight="1" x14ac:dyDescent="0.25">
      <c r="A69" s="162">
        <v>5</v>
      </c>
      <c r="B69" s="296" t="s">
        <v>1129</v>
      </c>
      <c r="C69" s="297"/>
      <c r="D69" s="297"/>
      <c r="E69" s="297"/>
      <c r="F69" s="297"/>
      <c r="G69" s="298"/>
      <c r="H69" s="187"/>
      <c r="I69" s="187"/>
      <c r="J69" s="166"/>
      <c r="K69" s="447"/>
      <c r="L69" s="166"/>
      <c r="M69" s="166"/>
      <c r="N69" s="447"/>
      <c r="O69" s="166"/>
    </row>
    <row r="70" spans="1:15" customFormat="1" ht="12.75" customHeight="1" x14ac:dyDescent="0.25">
      <c r="A70" s="162" t="s">
        <v>822</v>
      </c>
      <c r="B70" s="453"/>
      <c r="C70" s="300" t="s">
        <v>1059</v>
      </c>
      <c r="D70" s="426"/>
      <c r="E70" s="426"/>
      <c r="F70" s="426"/>
      <c r="G70" s="431"/>
      <c r="H70" s="448" t="s">
        <v>1120</v>
      </c>
      <c r="I70" s="174">
        <v>10069</v>
      </c>
      <c r="J70" s="303">
        <f>I70</f>
        <v>10069</v>
      </c>
      <c r="K70" s="15" t="s">
        <v>1120</v>
      </c>
      <c r="L70" s="174">
        <v>36169</v>
      </c>
      <c r="M70" s="174">
        <v>356</v>
      </c>
      <c r="N70" s="174">
        <v>0</v>
      </c>
      <c r="O70" s="303">
        <f>SUM(J70:N70)</f>
        <v>46594</v>
      </c>
    </row>
    <row r="71" spans="1:15" customFormat="1" ht="12.75" customHeight="1" x14ac:dyDescent="0.25">
      <c r="A71" s="162" t="s">
        <v>824</v>
      </c>
      <c r="B71" s="453"/>
      <c r="C71" s="300" t="s">
        <v>1130</v>
      </c>
      <c r="D71" s="426"/>
      <c r="E71" s="426"/>
      <c r="F71" s="426"/>
      <c r="G71" s="431"/>
      <c r="H71" s="448" t="s">
        <v>1120</v>
      </c>
      <c r="I71" s="174">
        <v>4558</v>
      </c>
      <c r="J71" s="303">
        <f>I71</f>
        <v>4558</v>
      </c>
      <c r="K71" s="15" t="s">
        <v>1120</v>
      </c>
      <c r="L71" s="174">
        <v>4975</v>
      </c>
      <c r="M71" s="174">
        <v>0</v>
      </c>
      <c r="N71" s="174">
        <v>0</v>
      </c>
      <c r="O71" s="303">
        <f>SUM(J71:N71)</f>
        <v>9533</v>
      </c>
    </row>
    <row r="72" spans="1:15" customFormat="1" ht="12.75" customHeight="1" x14ac:dyDescent="0.25">
      <c r="A72" s="162" t="s">
        <v>826</v>
      </c>
      <c r="B72" s="304" t="s">
        <v>1131</v>
      </c>
      <c r="C72" s="305"/>
      <c r="D72" s="305"/>
      <c r="E72" s="305"/>
      <c r="F72" s="305"/>
      <c r="G72" s="306"/>
      <c r="H72" s="449" t="s">
        <v>1120</v>
      </c>
      <c r="I72" s="183">
        <f>SUM(I70:I71)</f>
        <v>14627</v>
      </c>
      <c r="J72" s="283">
        <f>SUM(J70:J71)</f>
        <v>14627</v>
      </c>
      <c r="K72" s="183" t="s">
        <v>1120</v>
      </c>
      <c r="L72" s="283">
        <f>SUM(L70:L71)</f>
        <v>41144</v>
      </c>
      <c r="M72" s="283">
        <f>SUM(M70:M71)</f>
        <v>356</v>
      </c>
      <c r="N72" s="183">
        <f>SUM(N70:N71)</f>
        <v>0</v>
      </c>
      <c r="O72" s="283">
        <f>SUM(J72:N72)</f>
        <v>56127</v>
      </c>
    </row>
    <row r="73" spans="1:15" customFormat="1" ht="12.75" customHeight="1" x14ac:dyDescent="0.25">
      <c r="A73" s="162"/>
      <c r="B73" s="311"/>
      <c r="C73" s="312"/>
      <c r="D73" s="312"/>
      <c r="E73" s="312"/>
      <c r="F73" s="312"/>
      <c r="G73" s="313"/>
      <c r="H73" s="19"/>
      <c r="I73" s="19"/>
      <c r="J73" s="19"/>
      <c r="K73" s="454"/>
      <c r="L73" s="19"/>
      <c r="M73" s="19"/>
      <c r="N73" s="454"/>
      <c r="O73" s="19"/>
    </row>
    <row r="74" spans="1:15" customFormat="1" ht="12.75" customHeight="1" x14ac:dyDescent="0.25">
      <c r="A74" s="162">
        <v>6</v>
      </c>
      <c r="B74" s="296" t="s">
        <v>626</v>
      </c>
      <c r="C74" s="297"/>
      <c r="D74" s="297"/>
      <c r="E74" s="297"/>
      <c r="F74" s="297"/>
      <c r="G74" s="298"/>
      <c r="H74" s="187"/>
      <c r="I74" s="187"/>
      <c r="J74" s="166"/>
      <c r="K74" s="447"/>
      <c r="L74" s="166"/>
      <c r="M74" s="166"/>
      <c r="N74" s="447"/>
      <c r="O74" s="166"/>
    </row>
    <row r="75" spans="1:15" customFormat="1" ht="12.75" customHeight="1" x14ac:dyDescent="0.25">
      <c r="A75" s="162" t="s">
        <v>844</v>
      </c>
      <c r="B75" s="236"/>
      <c r="C75" s="455" t="s">
        <v>1035</v>
      </c>
      <c r="D75" s="456"/>
      <c r="E75" s="456"/>
      <c r="F75" s="456"/>
      <c r="G75" s="456"/>
      <c r="H75" s="19"/>
      <c r="I75" s="175"/>
      <c r="J75" s="175"/>
      <c r="K75" s="448"/>
      <c r="L75" s="175"/>
      <c r="M75" s="175"/>
      <c r="N75" s="448"/>
      <c r="O75" s="303"/>
    </row>
    <row r="76" spans="1:15" customFormat="1" ht="12.75" customHeight="1" x14ac:dyDescent="0.25">
      <c r="A76" s="162" t="s">
        <v>996</v>
      </c>
      <c r="B76" s="457"/>
      <c r="C76" s="458"/>
      <c r="D76" s="237" t="s">
        <v>1036</v>
      </c>
      <c r="E76" s="458"/>
      <c r="F76" s="458"/>
      <c r="G76" s="459"/>
      <c r="H76" s="174">
        <v>6879</v>
      </c>
      <c r="I76" s="174">
        <v>1347</v>
      </c>
      <c r="J76" s="303">
        <f t="shared" ref="J76:J83" si="2">SUM(H76:I76)</f>
        <v>8226</v>
      </c>
      <c r="K76" s="448" t="s">
        <v>1120</v>
      </c>
      <c r="L76" s="174">
        <v>6605</v>
      </c>
      <c r="M76" s="174">
        <v>2158</v>
      </c>
      <c r="N76" s="448" t="s">
        <v>1120</v>
      </c>
      <c r="O76" s="303">
        <f t="shared" ref="O76:O83" si="3">SUM(J76:M76)</f>
        <v>16989</v>
      </c>
    </row>
    <row r="77" spans="1:15" customFormat="1" ht="12.75" customHeight="1" x14ac:dyDescent="0.25">
      <c r="A77" s="162" t="s">
        <v>998</v>
      </c>
      <c r="B77" s="457"/>
      <c r="C77" s="458"/>
      <c r="D77" s="237" t="s">
        <v>1037</v>
      </c>
      <c r="E77" s="458"/>
      <c r="F77" s="458"/>
      <c r="G77" s="459"/>
      <c r="H77" s="174">
        <v>10601</v>
      </c>
      <c r="I77" s="174">
        <v>4196</v>
      </c>
      <c r="J77" s="303">
        <f t="shared" si="2"/>
        <v>14797</v>
      </c>
      <c r="K77" s="448" t="s">
        <v>1120</v>
      </c>
      <c r="L77" s="174">
        <v>16325</v>
      </c>
      <c r="M77" s="174">
        <v>1988</v>
      </c>
      <c r="N77" s="448" t="s">
        <v>1120</v>
      </c>
      <c r="O77" s="303">
        <f t="shared" si="3"/>
        <v>33110</v>
      </c>
    </row>
    <row r="78" spans="1:15" customFormat="1" ht="12.75" customHeight="1" x14ac:dyDescent="0.25">
      <c r="A78" s="162" t="s">
        <v>1000</v>
      </c>
      <c r="B78" s="457"/>
      <c r="C78" s="458"/>
      <c r="D78" s="237" t="s">
        <v>1038</v>
      </c>
      <c r="E78" s="458"/>
      <c r="F78" s="458"/>
      <c r="G78" s="459"/>
      <c r="H78" s="174">
        <v>1976</v>
      </c>
      <c r="I78" s="174">
        <v>1030</v>
      </c>
      <c r="J78" s="303">
        <f t="shared" si="2"/>
        <v>3006</v>
      </c>
      <c r="K78" s="448" t="s">
        <v>1120</v>
      </c>
      <c r="L78" s="174">
        <v>1630</v>
      </c>
      <c r="M78" s="174">
        <v>713</v>
      </c>
      <c r="N78" s="448" t="s">
        <v>1120</v>
      </c>
      <c r="O78" s="303">
        <f t="shared" si="3"/>
        <v>5349</v>
      </c>
    </row>
    <row r="79" spans="1:15" customFormat="1" ht="12.75" customHeight="1" x14ac:dyDescent="0.25">
      <c r="A79" s="162" t="s">
        <v>1002</v>
      </c>
      <c r="B79" s="457"/>
      <c r="C79" s="458"/>
      <c r="D79" s="237" t="s">
        <v>1039</v>
      </c>
      <c r="E79" s="458"/>
      <c r="F79" s="458"/>
      <c r="G79" s="459"/>
      <c r="H79" s="174">
        <v>6982</v>
      </c>
      <c r="I79" s="174">
        <v>717</v>
      </c>
      <c r="J79" s="303">
        <f t="shared" si="2"/>
        <v>7699</v>
      </c>
      <c r="K79" s="448" t="s">
        <v>1120</v>
      </c>
      <c r="L79" s="174">
        <v>9710</v>
      </c>
      <c r="M79" s="174">
        <v>3887</v>
      </c>
      <c r="N79" s="448" t="s">
        <v>1120</v>
      </c>
      <c r="O79" s="303">
        <f t="shared" si="3"/>
        <v>21296</v>
      </c>
    </row>
    <row r="80" spans="1:15" customFormat="1" ht="12.75" customHeight="1" x14ac:dyDescent="0.25">
      <c r="A80" s="162" t="s">
        <v>1004</v>
      </c>
      <c r="B80" s="457"/>
      <c r="C80" s="458"/>
      <c r="D80" s="237" t="s">
        <v>1040</v>
      </c>
      <c r="E80" s="458"/>
      <c r="F80" s="458"/>
      <c r="G80" s="459"/>
      <c r="H80" s="174">
        <v>1721</v>
      </c>
      <c r="I80" s="174">
        <v>380</v>
      </c>
      <c r="J80" s="303">
        <f t="shared" si="2"/>
        <v>2101</v>
      </c>
      <c r="K80" s="448" t="s">
        <v>1120</v>
      </c>
      <c r="L80" s="174">
        <v>4468</v>
      </c>
      <c r="M80" s="174">
        <v>0</v>
      </c>
      <c r="N80" s="448" t="s">
        <v>1120</v>
      </c>
      <c r="O80" s="303">
        <f t="shared" si="3"/>
        <v>6569</v>
      </c>
    </row>
    <row r="81" spans="1:15" customFormat="1" ht="12.75" customHeight="1" x14ac:dyDescent="0.25">
      <c r="A81" s="162" t="s">
        <v>1006</v>
      </c>
      <c r="B81" s="457"/>
      <c r="C81" s="458"/>
      <c r="D81" s="237" t="s">
        <v>1041</v>
      </c>
      <c r="E81" s="458"/>
      <c r="F81" s="458"/>
      <c r="G81" s="459"/>
      <c r="H81" s="174">
        <v>351</v>
      </c>
      <c r="I81" s="174">
        <v>3</v>
      </c>
      <c r="J81" s="303">
        <f t="shared" si="2"/>
        <v>354</v>
      </c>
      <c r="K81" s="448" t="s">
        <v>1120</v>
      </c>
      <c r="L81" s="174">
        <v>537</v>
      </c>
      <c r="M81" s="174">
        <v>0</v>
      </c>
      <c r="N81" s="448" t="s">
        <v>1120</v>
      </c>
      <c r="O81" s="303">
        <f t="shared" si="3"/>
        <v>891</v>
      </c>
    </row>
    <row r="82" spans="1:15" customFormat="1" ht="12.75" customHeight="1" x14ac:dyDescent="0.25">
      <c r="A82" s="162" t="s">
        <v>1008</v>
      </c>
      <c r="B82" s="457"/>
      <c r="C82" s="458"/>
      <c r="D82" s="237" t="s">
        <v>1042</v>
      </c>
      <c r="E82" s="458"/>
      <c r="F82" s="458"/>
      <c r="G82" s="459"/>
      <c r="H82" s="174">
        <v>2899</v>
      </c>
      <c r="I82" s="174">
        <v>246</v>
      </c>
      <c r="J82" s="303">
        <f t="shared" si="2"/>
        <v>3145</v>
      </c>
      <c r="K82" s="448" t="s">
        <v>1120</v>
      </c>
      <c r="L82" s="174">
        <v>1612</v>
      </c>
      <c r="M82" s="174">
        <v>1141</v>
      </c>
      <c r="N82" s="448" t="s">
        <v>1120</v>
      </c>
      <c r="O82" s="303">
        <f t="shared" si="3"/>
        <v>5898</v>
      </c>
    </row>
    <row r="83" spans="1:15" customFormat="1" ht="12.75" customHeight="1" x14ac:dyDescent="0.25">
      <c r="A83" s="162" t="s">
        <v>1010</v>
      </c>
      <c r="B83" s="457"/>
      <c r="C83" s="458"/>
      <c r="D83" s="237" t="s">
        <v>8</v>
      </c>
      <c r="E83" s="458"/>
      <c r="F83" s="458"/>
      <c r="G83" s="459"/>
      <c r="H83" s="174">
        <v>937</v>
      </c>
      <c r="I83" s="174">
        <v>36</v>
      </c>
      <c r="J83" s="303">
        <f t="shared" si="2"/>
        <v>973</v>
      </c>
      <c r="K83" s="448" t="s">
        <v>1120</v>
      </c>
      <c r="L83" s="174">
        <v>572</v>
      </c>
      <c r="M83" s="174">
        <v>68</v>
      </c>
      <c r="N83" s="448" t="s">
        <v>1120</v>
      </c>
      <c r="O83" s="303">
        <f t="shared" si="3"/>
        <v>1613</v>
      </c>
    </row>
    <row r="84" spans="1:15" customFormat="1" ht="12.75" customHeight="1" x14ac:dyDescent="0.25">
      <c r="A84" s="162" t="s">
        <v>1043</v>
      </c>
      <c r="B84" s="304"/>
      <c r="C84" s="305" t="s">
        <v>1132</v>
      </c>
      <c r="D84" s="305"/>
      <c r="E84" s="305"/>
      <c r="F84" s="305"/>
      <c r="G84" s="306"/>
      <c r="H84" s="183">
        <f>SUM(H76:H83)</f>
        <v>32346</v>
      </c>
      <c r="I84" s="183">
        <f>SUM(I76:I83)</f>
        <v>7955</v>
      </c>
      <c r="J84" s="183">
        <f>SUM(J76:J83)</f>
        <v>40301</v>
      </c>
      <c r="K84" s="183" t="s">
        <v>1120</v>
      </c>
      <c r="L84" s="183">
        <f>SUM(L76:L83)</f>
        <v>41459</v>
      </c>
      <c r="M84" s="183">
        <f>SUM(M76:M83)</f>
        <v>9955</v>
      </c>
      <c r="N84" s="183" t="s">
        <v>1120</v>
      </c>
      <c r="O84" s="183">
        <f>SUM(O76:O83)</f>
        <v>91715</v>
      </c>
    </row>
    <row r="85" spans="1:15" customFormat="1" ht="12.75" customHeight="1" x14ac:dyDescent="0.25">
      <c r="A85" s="162" t="s">
        <v>846</v>
      </c>
      <c r="B85" s="236"/>
      <c r="C85" s="237" t="s">
        <v>876</v>
      </c>
      <c r="D85" s="238"/>
      <c r="E85" s="238"/>
      <c r="F85" s="238"/>
      <c r="G85" s="239"/>
      <c r="H85" s="174">
        <v>26145</v>
      </c>
      <c r="I85" s="174">
        <v>6953</v>
      </c>
      <c r="J85" s="303">
        <f t="shared" ref="J85:J96" si="4">SUM(H85:I85)</f>
        <v>33098</v>
      </c>
      <c r="K85" s="448" t="s">
        <v>1120</v>
      </c>
      <c r="L85" s="174">
        <v>23571</v>
      </c>
      <c r="M85" s="174">
        <v>2207</v>
      </c>
      <c r="N85" s="448" t="s">
        <v>1120</v>
      </c>
      <c r="O85" s="303">
        <f t="shared" ref="O85:O96" si="5">SUM(J85:M85)</f>
        <v>58876</v>
      </c>
    </row>
    <row r="86" spans="1:15" customFormat="1" ht="12.75" customHeight="1" x14ac:dyDescent="0.25">
      <c r="A86" s="162" t="s">
        <v>848</v>
      </c>
      <c r="B86" s="236"/>
      <c r="C86" s="237" t="s">
        <v>877</v>
      </c>
      <c r="D86" s="238"/>
      <c r="E86" s="238"/>
      <c r="F86" s="238"/>
      <c r="G86" s="239"/>
      <c r="H86" s="174">
        <v>197</v>
      </c>
      <c r="I86" s="174">
        <v>3</v>
      </c>
      <c r="J86" s="303">
        <f t="shared" si="4"/>
        <v>200</v>
      </c>
      <c r="K86" s="448" t="s">
        <v>1120</v>
      </c>
      <c r="L86" s="174">
        <v>248</v>
      </c>
      <c r="M86" s="174">
        <v>0</v>
      </c>
      <c r="N86" s="448" t="s">
        <v>1120</v>
      </c>
      <c r="O86" s="303">
        <f t="shared" si="5"/>
        <v>448</v>
      </c>
    </row>
    <row r="87" spans="1:15" customFormat="1" ht="12.4" customHeight="1" x14ac:dyDescent="0.25">
      <c r="A87" s="162" t="s">
        <v>850</v>
      </c>
      <c r="B87" s="236"/>
      <c r="C87" s="237" t="s">
        <v>878</v>
      </c>
      <c r="D87" s="238"/>
      <c r="E87" s="238"/>
      <c r="F87" s="238"/>
      <c r="G87" s="239"/>
      <c r="H87" s="174">
        <v>5409</v>
      </c>
      <c r="I87" s="174">
        <v>4054</v>
      </c>
      <c r="J87" s="303">
        <f t="shared" si="4"/>
        <v>9463</v>
      </c>
      <c r="K87" s="448" t="s">
        <v>1120</v>
      </c>
      <c r="L87" s="174">
        <v>11916</v>
      </c>
      <c r="M87" s="174">
        <v>381</v>
      </c>
      <c r="N87" s="448" t="s">
        <v>1120</v>
      </c>
      <c r="O87" s="303">
        <f t="shared" si="5"/>
        <v>21760</v>
      </c>
    </row>
    <row r="88" spans="1:15" customFormat="1" ht="12.4" customHeight="1" x14ac:dyDescent="0.25">
      <c r="A88" s="162" t="s">
        <v>852</v>
      </c>
      <c r="B88" s="236"/>
      <c r="C88" s="237" t="s">
        <v>880</v>
      </c>
      <c r="D88" s="238"/>
      <c r="E88" s="238"/>
      <c r="F88" s="238"/>
      <c r="G88" s="239"/>
      <c r="H88" s="174">
        <v>1650</v>
      </c>
      <c r="I88" s="174">
        <v>1006</v>
      </c>
      <c r="J88" s="303">
        <f t="shared" si="4"/>
        <v>2656</v>
      </c>
      <c r="K88" s="448" t="s">
        <v>1120</v>
      </c>
      <c r="L88" s="174">
        <v>4992</v>
      </c>
      <c r="M88" s="174">
        <v>22</v>
      </c>
      <c r="N88" s="448" t="s">
        <v>1120</v>
      </c>
      <c r="O88" s="303">
        <f t="shared" si="5"/>
        <v>7670</v>
      </c>
    </row>
    <row r="89" spans="1:15" customFormat="1" ht="12.4" customHeight="1" x14ac:dyDescent="0.25">
      <c r="A89" s="162" t="s">
        <v>854</v>
      </c>
      <c r="B89" s="236"/>
      <c r="C89" s="143" t="s">
        <v>881</v>
      </c>
      <c r="D89" s="238"/>
      <c r="E89" s="238"/>
      <c r="F89" s="238"/>
      <c r="G89" s="239"/>
      <c r="H89" s="174">
        <v>2375</v>
      </c>
      <c r="I89" s="174">
        <v>750</v>
      </c>
      <c r="J89" s="303">
        <f t="shared" si="4"/>
        <v>3125</v>
      </c>
      <c r="K89" s="448" t="s">
        <v>1120</v>
      </c>
      <c r="L89" s="174">
        <v>2211</v>
      </c>
      <c r="M89" s="174">
        <v>79</v>
      </c>
      <c r="N89" s="448" t="s">
        <v>1120</v>
      </c>
      <c r="O89" s="303">
        <f t="shared" si="5"/>
        <v>5415</v>
      </c>
    </row>
    <row r="90" spans="1:15" customFormat="1" ht="12.4" customHeight="1" x14ac:dyDescent="0.25">
      <c r="A90" s="162" t="s">
        <v>856</v>
      </c>
      <c r="B90" s="236"/>
      <c r="C90" s="237" t="s">
        <v>882</v>
      </c>
      <c r="D90" s="238"/>
      <c r="E90" s="238"/>
      <c r="F90" s="238"/>
      <c r="G90" s="239"/>
      <c r="H90" s="174">
        <v>17581</v>
      </c>
      <c r="I90" s="174">
        <v>2411</v>
      </c>
      <c r="J90" s="303">
        <f t="shared" si="4"/>
        <v>19992</v>
      </c>
      <c r="K90" s="448" t="s">
        <v>1120</v>
      </c>
      <c r="L90" s="174">
        <v>9916</v>
      </c>
      <c r="M90" s="174">
        <v>451</v>
      </c>
      <c r="N90" s="448" t="s">
        <v>1120</v>
      </c>
      <c r="O90" s="303">
        <f t="shared" si="5"/>
        <v>30359</v>
      </c>
    </row>
    <row r="91" spans="1:15" customFormat="1" ht="12.4" customHeight="1" x14ac:dyDescent="0.25">
      <c r="A91" s="162" t="s">
        <v>859</v>
      </c>
      <c r="B91" s="236"/>
      <c r="C91" s="237" t="s">
        <v>883</v>
      </c>
      <c r="D91" s="238"/>
      <c r="E91" s="238"/>
      <c r="F91" s="238"/>
      <c r="G91" s="239"/>
      <c r="H91" s="174">
        <v>76</v>
      </c>
      <c r="I91" s="174">
        <v>0</v>
      </c>
      <c r="J91" s="303">
        <f t="shared" si="4"/>
        <v>76</v>
      </c>
      <c r="K91" s="448" t="s">
        <v>1120</v>
      </c>
      <c r="L91" s="174">
        <v>122</v>
      </c>
      <c r="M91" s="174">
        <v>0</v>
      </c>
      <c r="N91" s="448" t="s">
        <v>1120</v>
      </c>
      <c r="O91" s="303">
        <f t="shared" si="5"/>
        <v>198</v>
      </c>
    </row>
    <row r="92" spans="1:15" customFormat="1" ht="12.4" customHeight="1" x14ac:dyDescent="0.25">
      <c r="A92" s="162" t="s">
        <v>860</v>
      </c>
      <c r="B92" s="236"/>
      <c r="C92" s="237" t="s">
        <v>884</v>
      </c>
      <c r="D92" s="238"/>
      <c r="E92" s="238"/>
      <c r="F92" s="238"/>
      <c r="G92" s="239"/>
      <c r="H92" s="174">
        <v>443</v>
      </c>
      <c r="I92" s="174">
        <v>101</v>
      </c>
      <c r="J92" s="303">
        <f t="shared" si="4"/>
        <v>544</v>
      </c>
      <c r="K92" s="448" t="s">
        <v>1120</v>
      </c>
      <c r="L92" s="174">
        <v>1760</v>
      </c>
      <c r="M92" s="174">
        <v>0</v>
      </c>
      <c r="N92" s="448" t="s">
        <v>1120</v>
      </c>
      <c r="O92" s="303">
        <f t="shared" si="5"/>
        <v>2304</v>
      </c>
    </row>
    <row r="93" spans="1:15" customFormat="1" ht="12.4" customHeight="1" x14ac:dyDescent="0.25">
      <c r="A93" s="162" t="s">
        <v>1133</v>
      </c>
      <c r="B93" s="236"/>
      <c r="C93" s="237" t="s">
        <v>885</v>
      </c>
      <c r="D93" s="238"/>
      <c r="E93" s="238"/>
      <c r="F93" s="238"/>
      <c r="G93" s="239"/>
      <c r="H93" s="174">
        <v>286</v>
      </c>
      <c r="I93" s="174">
        <v>91</v>
      </c>
      <c r="J93" s="303">
        <f t="shared" si="4"/>
        <v>377</v>
      </c>
      <c r="K93" s="448" t="s">
        <v>1120</v>
      </c>
      <c r="L93" s="174">
        <v>500</v>
      </c>
      <c r="M93" s="174">
        <v>0</v>
      </c>
      <c r="N93" s="448" t="s">
        <v>1120</v>
      </c>
      <c r="O93" s="303">
        <f t="shared" si="5"/>
        <v>877</v>
      </c>
    </row>
    <row r="94" spans="1:15" customFormat="1" ht="12.4" customHeight="1" x14ac:dyDescent="0.25">
      <c r="A94" s="162" t="s">
        <v>1134</v>
      </c>
      <c r="B94" s="236"/>
      <c r="C94" s="237" t="s">
        <v>886</v>
      </c>
      <c r="D94" s="238"/>
      <c r="E94" s="238"/>
      <c r="F94" s="238"/>
      <c r="G94" s="239"/>
      <c r="H94" s="174">
        <v>1716</v>
      </c>
      <c r="I94" s="174">
        <v>227</v>
      </c>
      <c r="J94" s="303">
        <f t="shared" si="4"/>
        <v>1943</v>
      </c>
      <c r="K94" s="448" t="s">
        <v>1120</v>
      </c>
      <c r="L94" s="174">
        <v>3202</v>
      </c>
      <c r="M94" s="174">
        <v>0</v>
      </c>
      <c r="N94" s="448" t="s">
        <v>1120</v>
      </c>
      <c r="O94" s="303">
        <f t="shared" si="5"/>
        <v>5145</v>
      </c>
    </row>
    <row r="95" spans="1:15" customFormat="1" ht="12.4" customHeight="1" x14ac:dyDescent="0.25">
      <c r="A95" s="162" t="s">
        <v>1135</v>
      </c>
      <c r="B95" s="236"/>
      <c r="C95" s="237" t="s">
        <v>887</v>
      </c>
      <c r="D95" s="238"/>
      <c r="E95" s="238"/>
      <c r="F95" s="238"/>
      <c r="G95" s="239"/>
      <c r="H95" s="174">
        <v>1397</v>
      </c>
      <c r="I95" s="174">
        <v>129</v>
      </c>
      <c r="J95" s="303">
        <f t="shared" si="4"/>
        <v>1526</v>
      </c>
      <c r="K95" s="448" t="s">
        <v>1120</v>
      </c>
      <c r="L95" s="174">
        <v>4011</v>
      </c>
      <c r="M95" s="174">
        <v>0</v>
      </c>
      <c r="N95" s="448" t="s">
        <v>1120</v>
      </c>
      <c r="O95" s="303">
        <f t="shared" si="5"/>
        <v>5537</v>
      </c>
    </row>
    <row r="96" spans="1:15" customFormat="1" ht="12.4" customHeight="1" x14ac:dyDescent="0.25">
      <c r="A96" s="162" t="s">
        <v>1136</v>
      </c>
      <c r="B96" s="236"/>
      <c r="C96" s="237" t="s">
        <v>888</v>
      </c>
      <c r="D96" s="238"/>
      <c r="E96" s="238"/>
      <c r="F96" s="238"/>
      <c r="G96" s="239"/>
      <c r="H96" s="174">
        <v>2031</v>
      </c>
      <c r="I96" s="174">
        <v>412</v>
      </c>
      <c r="J96" s="303">
        <f t="shared" si="4"/>
        <v>2443</v>
      </c>
      <c r="K96" s="448" t="s">
        <v>1120</v>
      </c>
      <c r="L96" s="174">
        <v>886</v>
      </c>
      <c r="M96" s="174">
        <v>3</v>
      </c>
      <c r="N96" s="448" t="s">
        <v>1120</v>
      </c>
      <c r="O96" s="303">
        <f t="shared" si="5"/>
        <v>3332</v>
      </c>
    </row>
    <row r="97" spans="1:15" customFormat="1" ht="12.4" customHeight="1" x14ac:dyDescent="0.25">
      <c r="A97" s="162" t="s">
        <v>1137</v>
      </c>
      <c r="B97" s="304" t="s">
        <v>978</v>
      </c>
      <c r="C97" s="305"/>
      <c r="D97" s="305"/>
      <c r="E97" s="305"/>
      <c r="F97" s="305"/>
      <c r="G97" s="306"/>
      <c r="H97" s="183">
        <f>SUM(H84:H96)</f>
        <v>91652</v>
      </c>
      <c r="I97" s="183">
        <f>SUM(I84:I96)</f>
        <v>24092</v>
      </c>
      <c r="J97" s="183">
        <f>SUM(J84:J96)</f>
        <v>115744</v>
      </c>
      <c r="K97" s="183" t="s">
        <v>1120</v>
      </c>
      <c r="L97" s="183">
        <f>SUM(L84:L96)</f>
        <v>104794</v>
      </c>
      <c r="M97" s="183">
        <f>SUM(M84:M96)</f>
        <v>13098</v>
      </c>
      <c r="N97" s="183" t="s">
        <v>1120</v>
      </c>
      <c r="O97" s="183">
        <f>SUM(O84:O96)</f>
        <v>233636</v>
      </c>
    </row>
    <row r="98" spans="1:15" x14ac:dyDescent="0.2">
      <c r="A98" s="162"/>
      <c r="B98" s="11"/>
      <c r="C98" s="301"/>
      <c r="D98" s="301"/>
      <c r="E98" s="301"/>
      <c r="F98" s="301"/>
      <c r="G98" s="20"/>
      <c r="H98" s="19"/>
      <c r="I98" s="19"/>
      <c r="J98" s="19"/>
      <c r="K98" s="19"/>
      <c r="L98" s="19"/>
      <c r="M98" s="19"/>
      <c r="N98" s="454"/>
      <c r="O98" s="19"/>
    </row>
    <row r="99" spans="1:15" x14ac:dyDescent="0.2">
      <c r="A99" s="162">
        <v>7</v>
      </c>
      <c r="B99" s="296" t="s">
        <v>1127</v>
      </c>
      <c r="C99" s="297"/>
      <c r="D99" s="297"/>
      <c r="E99" s="297"/>
      <c r="F99" s="297"/>
      <c r="G99" s="298"/>
      <c r="H99" s="166"/>
      <c r="I99" s="166"/>
      <c r="J99" s="166"/>
      <c r="K99" s="166"/>
      <c r="L99" s="166"/>
      <c r="M99" s="166"/>
      <c r="N99" s="447"/>
      <c r="O99" s="166"/>
    </row>
    <row r="100" spans="1:15" customFormat="1" ht="12.4" customHeight="1" x14ac:dyDescent="0.25">
      <c r="A100" s="162" t="s">
        <v>752</v>
      </c>
      <c r="B100" s="310"/>
      <c r="C100" s="300" t="s">
        <v>1138</v>
      </c>
      <c r="D100" s="301"/>
      <c r="E100" s="301"/>
      <c r="F100" s="301"/>
      <c r="G100" s="302"/>
      <c r="H100" s="174">
        <v>0</v>
      </c>
      <c r="I100" s="174">
        <v>664</v>
      </c>
      <c r="J100" s="303">
        <f>SUM(H100:I100)</f>
        <v>664</v>
      </c>
      <c r="K100" s="448" t="s">
        <v>1120</v>
      </c>
      <c r="L100" s="174">
        <v>0</v>
      </c>
      <c r="M100" s="448" t="s">
        <v>1120</v>
      </c>
      <c r="N100" s="174">
        <v>5860</v>
      </c>
      <c r="O100" s="303">
        <f>SUM(J100:N100)</f>
        <v>6524</v>
      </c>
    </row>
    <row r="101" spans="1:15" customFormat="1" ht="12.4" customHeight="1" x14ac:dyDescent="0.25">
      <c r="A101" s="162" t="s">
        <v>753</v>
      </c>
      <c r="B101" s="310"/>
      <c r="C101" s="300" t="s">
        <v>1139</v>
      </c>
      <c r="D101" s="301"/>
      <c r="E101" s="301"/>
      <c r="F101" s="301"/>
      <c r="G101" s="302"/>
      <c r="H101" s="174">
        <v>23</v>
      </c>
      <c r="I101" s="174">
        <v>3516</v>
      </c>
      <c r="J101" s="303">
        <f>SUM(H101:I101)</f>
        <v>3539</v>
      </c>
      <c r="K101" s="174">
        <v>0</v>
      </c>
      <c r="L101" s="174">
        <v>5348</v>
      </c>
      <c r="M101" s="174">
        <v>0</v>
      </c>
      <c r="N101" s="174">
        <v>10980</v>
      </c>
      <c r="O101" s="303">
        <f>SUM(J101:N101)</f>
        <v>19867</v>
      </c>
    </row>
    <row r="102" spans="1:15" customFormat="1" ht="12.4" customHeight="1" x14ac:dyDescent="0.25">
      <c r="A102" s="162" t="s">
        <v>754</v>
      </c>
      <c r="B102" s="304" t="s">
        <v>1140</v>
      </c>
      <c r="C102" s="305"/>
      <c r="D102" s="305"/>
      <c r="E102" s="305"/>
      <c r="F102" s="305"/>
      <c r="G102" s="306"/>
      <c r="H102" s="283">
        <f t="shared" ref="H102:N102" si="6">SUM(H100:H101)</f>
        <v>23</v>
      </c>
      <c r="I102" s="283">
        <f t="shared" si="6"/>
        <v>4180</v>
      </c>
      <c r="J102" s="283">
        <f t="shared" si="6"/>
        <v>4203</v>
      </c>
      <c r="K102" s="283">
        <f t="shared" si="6"/>
        <v>0</v>
      </c>
      <c r="L102" s="283">
        <f t="shared" si="6"/>
        <v>5348</v>
      </c>
      <c r="M102" s="283">
        <f t="shared" si="6"/>
        <v>0</v>
      </c>
      <c r="N102" s="283">
        <f t="shared" si="6"/>
        <v>16840</v>
      </c>
      <c r="O102" s="283">
        <f>SUM(J102:N102)</f>
        <v>26391</v>
      </c>
    </row>
    <row r="103" spans="1:15" x14ac:dyDescent="0.2">
      <c r="A103" s="162"/>
      <c r="B103" s="311"/>
      <c r="C103" s="312"/>
      <c r="D103" s="312"/>
      <c r="E103" s="312"/>
      <c r="F103" s="312"/>
      <c r="G103" s="313"/>
      <c r="H103" s="19"/>
      <c r="I103" s="19"/>
      <c r="J103" s="19"/>
      <c r="K103" s="19"/>
      <c r="L103" s="19"/>
      <c r="M103" s="19"/>
      <c r="N103" s="454"/>
      <c r="O103" s="19"/>
    </row>
    <row r="104" spans="1:15" customFormat="1" ht="12.4" customHeight="1" x14ac:dyDescent="0.25">
      <c r="A104" s="162">
        <v>8</v>
      </c>
      <c r="B104" s="304" t="s">
        <v>647</v>
      </c>
      <c r="C104" s="305"/>
      <c r="D104" s="305"/>
      <c r="E104" s="305"/>
      <c r="F104" s="305"/>
      <c r="G104" s="306"/>
      <c r="H104" s="283">
        <f>SUM(H51,H53,H62,H97,H102)</f>
        <v>289298</v>
      </c>
      <c r="I104" s="283">
        <f>SUM(I51,I53,I62,I67,I72,I97,I102)</f>
        <v>232075</v>
      </c>
      <c r="J104" s="283">
        <f>SUM(J51,J53,J62,J67,J72,J97,J102)</f>
        <v>521373</v>
      </c>
      <c r="K104" s="283">
        <f>SUM(K102)</f>
        <v>0</v>
      </c>
      <c r="L104" s="283">
        <f>SUM(L51,L53,L62,L67,L72,L97,L102)</f>
        <v>358578</v>
      </c>
      <c r="M104" s="283">
        <f>SUM(M51,M53,M62,M67,M72,M97,M102)</f>
        <v>60197</v>
      </c>
      <c r="N104" s="283">
        <f>N67+N72+N102</f>
        <v>16840</v>
      </c>
      <c r="O104" s="283">
        <f>SUM(J104:N104)</f>
        <v>956988</v>
      </c>
    </row>
  </sheetData>
  <sheetProtection algorithmName="SHA-512" hashValue="7N7Xa6AtkGIRv6bRb0TYRH7/td9rOGE28dx6+vQOAip0ooxy9Q94diY/Mw0a92Khn56ulnAM83EaytHcODSTRQ==" saltValue="0vazXgLkKUQjMy9oWGB0QA==" spinCount="100000" sheet="1" objects="1" scenarios="1"/>
  <mergeCells count="1">
    <mergeCell ref="H1:O1"/>
  </mergeCells>
  <dataValidations count="23">
    <dataValidation type="whole" operator="greaterThan" allowBlank="1" showInputMessage="1" showErrorMessage="1" errorTitle="Whole numbers only allowed" error="All monies should be independently rounded to the nearest £1,000." sqref="H76:I83">
      <formula1>-99999999</formula1>
    </dataValidation>
    <dataValidation type="whole" operator="greaterThan" allowBlank="1" showInputMessage="1" showErrorMessage="1" errorTitle="Whole numbers only allowed" error="All monies should be independently rounded to the nearest £1,000." sqref="H85:I96">
      <formula1>-99999999</formula1>
    </dataValidation>
    <dataValidation type="whole" operator="greaterThan" allowBlank="1" showInputMessage="1" showErrorMessage="1" errorTitle="Whole numbers only allowed" error="All monies should be independently rounded to the nearest £1,000." sqref="L85:M96">
      <formula1>-99999999</formula1>
    </dataValidation>
    <dataValidation type="whole" operator="greaterThan" allowBlank="1" showInputMessage="1" showErrorMessage="1" errorTitle="Whole numbers only allowed" error="All monies should be independently rounded to the nearest £1,000." sqref="L76:M83">
      <formula1>-99999999</formula1>
    </dataValidation>
    <dataValidation type="whole" operator="greaterThan" allowBlank="1" showInputMessage="1" showErrorMessage="1" errorTitle="Whole numbers only allowed" error="All monies should be independently rounded to the nearest £1,000." sqref="H100:I101">
      <formula1>-99999999</formula1>
    </dataValidation>
    <dataValidation type="whole" operator="greaterThan" allowBlank="1" showInputMessage="1" showErrorMessage="1" errorTitle="Whole numbers only allowed" error="All monies should be independently rounded to the nearest £1,000." sqref="K101:N101">
      <formula1>-99999999</formula1>
    </dataValidation>
    <dataValidation type="whole" operator="greaterThan" allowBlank="1" showInputMessage="1" showErrorMessage="1" errorTitle="Whole numbers only allowed" error="All monies should be independently rounded to the nearest £1,000." sqref="N100">
      <formula1>-99999999</formula1>
    </dataValidation>
    <dataValidation type="whole" operator="greaterThan" allowBlank="1" showInputMessage="1" showErrorMessage="1" errorTitle="Whole numbers only allowed" error="All monies should be independently rounded to the nearest £1,000." sqref="H6:I50">
      <formula1>-99999999</formula1>
    </dataValidation>
    <dataValidation type="whole" operator="greaterThan" allowBlank="1" showInputMessage="1" showErrorMessage="1" errorTitle="Whole numbers only allowed" error="All monies should be independently rounded to the nearest £1,000." sqref="L6:M50">
      <formula1>-99999999</formula1>
    </dataValidation>
    <dataValidation type="whole" operator="greaterThan" allowBlank="1" showInputMessage="1" showErrorMessage="1" errorTitle="Whole numbers only allowed" error="All monies should be independently rounded to the nearest £1,000." sqref="H53:I53">
      <formula1>-99999999</formula1>
    </dataValidation>
    <dataValidation type="whole" operator="greaterThan" allowBlank="1" showInputMessage="1" showErrorMessage="1" errorTitle="Whole numbers only allowed" error="All monies should be independently rounded to the nearest £1,000." sqref="L53:M53">
      <formula1>-99999999</formula1>
    </dataValidation>
    <dataValidation type="whole" operator="greaterThan" allowBlank="1" showInputMessage="1" showErrorMessage="1" errorTitle="Whole numbers only allowed" error="All monies should be independently rounded to the nearest £1,000." sqref="H56:I56">
      <formula1>-99999999</formula1>
    </dataValidation>
    <dataValidation type="whole" operator="greaterThan" allowBlank="1" showInputMessage="1" showErrorMessage="1" errorTitle="Whole numbers only allowed" error="All monies should be independently rounded to the nearest £1,000." sqref="L56:M56">
      <formula1>-99999999</formula1>
    </dataValidation>
    <dataValidation type="whole" operator="greaterThan" allowBlank="1" showInputMessage="1" showErrorMessage="1" errorTitle="Whole numbers only allowed" error="All monies should be independently rounded to the nearest £1,000." sqref="H60:I61">
      <formula1>-99999999</formula1>
    </dataValidation>
    <dataValidation type="whole" operator="greaterThan" allowBlank="1" showInputMessage="1" showErrorMessage="1" errorTitle="Whole numbers only allowed" error="All monies should be independently rounded to the nearest £1,000." sqref="L58:L61">
      <formula1>-99999999</formula1>
    </dataValidation>
    <dataValidation type="whole" operator="greaterThan" allowBlank="1" showInputMessage="1" showErrorMessage="1" errorTitle="Whole numbers only allowed" error="All monies should be independently rounded to the nearest £1,000." sqref="M60:M61">
      <formula1>-99999999</formula1>
    </dataValidation>
    <dataValidation type="whole" operator="greaterThan" allowBlank="1" showInputMessage="1" showErrorMessage="1" errorTitle="Whole numbers only allowed" error="All monies should be independently rounded to the nearest £1,000." sqref="I65:I66">
      <formula1>-99999999</formula1>
    </dataValidation>
    <dataValidation type="whole" operator="greaterThan" allowBlank="1" showInputMessage="1" showErrorMessage="1" errorTitle="Whole numbers only allowed" error="All monies should be independently rounded to the nearest £1,000." sqref="L65:L66">
      <formula1>-99999999</formula1>
    </dataValidation>
    <dataValidation type="whole" operator="greaterThan" allowBlank="1" showInputMessage="1" showErrorMessage="1" errorTitle="Whole numbers only allowed" error="All monies should be independently rounded to the nearest £1,000." sqref="M66:N66">
      <formula1>-99999999</formula1>
    </dataValidation>
    <dataValidation type="whole" operator="greaterThan" allowBlank="1" showInputMessage="1" showErrorMessage="1" errorTitle="Whole numbers only allowed" error="All monies should be independently rounded to the nearest £1,000." sqref="I70:I71">
      <formula1>-99999999</formula1>
    </dataValidation>
    <dataValidation type="whole" operator="greaterThan" allowBlank="1" showInputMessage="1" showErrorMessage="1" errorTitle="Whole numbers only allowed" error="All monies should be independently rounded to the nearest £1,000." sqref="L100">
      <formula1>-99999999</formula1>
    </dataValidation>
    <dataValidation type="whole" operator="greaterThan" allowBlank="1" showInputMessage="1" showErrorMessage="1" errorTitle="Whole numbers only allowed" error="All monies should be independently rounded to the nearest £1,000." sqref="N65">
      <formula1>-99999999</formula1>
    </dataValidation>
    <dataValidation type="whole" operator="greaterThan" allowBlank="1" showInputMessage="1" showErrorMessage="1" errorTitle="Whole numbers only allowed" error="All monies should be independently rounded to the nearest £1,000." sqref="L70:N71">
      <formula1>-99999999</formula1>
    </dataValidation>
  </dataValidations>
  <printOptions headings="1"/>
  <pageMargins left="0.31496062992125984" right="0.31496062992125984" top="0.74803149606299213" bottom="0.74803149606299213" header="0.31496062992125984" footer="0.31496062992125984"/>
  <pageSetup paperSize="9" scale="44" orientation="portrait" r:id="rId1"/>
  <ignoredErrors>
    <ignoredError sqref="J84 O84 M67 J57 K104" formula="1"/>
    <ignoredError sqref="H102:I102" unlockedFormula="1"/>
    <ignoredError sqref="L57" formula="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17"/>
  <sheetViews>
    <sheetView zoomScaleNormal="100" workbookViewId="0">
      <selection activeCell="I14" sqref="I14:O15"/>
    </sheetView>
  </sheetViews>
  <sheetFormatPr defaultColWidth="9.140625" defaultRowHeight="12.75" x14ac:dyDescent="0.2"/>
  <cols>
    <col min="1" max="1" width="10" style="199" bestFit="1" customWidth="1"/>
    <col min="2" max="2" width="2.5703125" style="143" customWidth="1"/>
    <col min="3" max="3" width="21.5703125" style="143" customWidth="1"/>
    <col min="4" max="5" width="3.85546875" style="143" hidden="1" customWidth="1"/>
    <col min="6" max="6" width="3.28515625" style="143" hidden="1" customWidth="1"/>
    <col min="7" max="7" width="2.28515625" style="143" hidden="1" customWidth="1"/>
    <col min="8" max="15" width="15.7109375" style="143" customWidth="1"/>
    <col min="16" max="16" width="9.140625" style="143" customWidth="1"/>
    <col min="17" max="16384" width="9.140625" style="143"/>
  </cols>
  <sheetData>
    <row r="1" spans="1:15" customFormat="1" ht="15.4" customHeight="1" x14ac:dyDescent="0.25">
      <c r="A1" s="390" t="s">
        <v>1141</v>
      </c>
      <c r="B1" s="391" t="s">
        <v>1142</v>
      </c>
      <c r="C1" s="391"/>
      <c r="D1" s="391"/>
      <c r="E1" s="391"/>
      <c r="F1" s="391"/>
      <c r="G1" s="391"/>
      <c r="H1" s="654" t="s">
        <v>1143</v>
      </c>
      <c r="I1" s="654"/>
      <c r="J1" s="654"/>
      <c r="K1" s="654"/>
      <c r="L1" s="654"/>
      <c r="M1" s="654"/>
      <c r="N1" s="654"/>
      <c r="O1" s="655"/>
    </row>
    <row r="2" spans="1:15" customFormat="1" ht="15.75" customHeight="1" x14ac:dyDescent="0.25">
      <c r="A2" s="461"/>
      <c r="B2" s="462"/>
      <c r="C2" s="462"/>
      <c r="D2" s="462"/>
      <c r="E2" s="462"/>
      <c r="F2" s="462"/>
      <c r="G2" s="462"/>
      <c r="H2" s="463">
        <v>1</v>
      </c>
      <c r="I2" s="463">
        <v>2</v>
      </c>
      <c r="J2" s="463">
        <v>3</v>
      </c>
      <c r="K2" s="463">
        <v>4</v>
      </c>
      <c r="L2" s="463">
        <v>5</v>
      </c>
      <c r="M2" s="463">
        <v>6</v>
      </c>
      <c r="N2" s="463">
        <v>7</v>
      </c>
      <c r="O2" s="464">
        <v>8</v>
      </c>
    </row>
    <row r="3" spans="1:15" customFormat="1" ht="45.4" customHeight="1" x14ac:dyDescent="0.25">
      <c r="A3" s="461"/>
      <c r="B3" s="462"/>
      <c r="C3" s="462"/>
      <c r="D3" s="462"/>
      <c r="E3" s="462"/>
      <c r="F3" s="462"/>
      <c r="G3" s="465"/>
      <c r="H3" s="466" t="s">
        <v>1144</v>
      </c>
      <c r="I3" s="466" t="s">
        <v>624</v>
      </c>
      <c r="J3" s="466" t="s">
        <v>1145</v>
      </c>
      <c r="K3" s="466" t="s">
        <v>1146</v>
      </c>
      <c r="L3" s="466" t="s">
        <v>1147</v>
      </c>
      <c r="M3" s="467" t="s">
        <v>1148</v>
      </c>
      <c r="N3" s="467" t="s">
        <v>1149</v>
      </c>
      <c r="O3" s="466" t="s">
        <v>1150</v>
      </c>
    </row>
    <row r="4" spans="1:15" customFormat="1" ht="15.4" customHeight="1" x14ac:dyDescent="0.25">
      <c r="A4" s="461"/>
      <c r="B4" s="468"/>
      <c r="C4" s="468"/>
      <c r="D4" s="468"/>
      <c r="E4" s="468"/>
      <c r="F4" s="468"/>
      <c r="G4" s="469"/>
      <c r="H4" s="470" t="s">
        <v>616</v>
      </c>
      <c r="I4" s="470" t="s">
        <v>616</v>
      </c>
      <c r="J4" s="470" t="s">
        <v>616</v>
      </c>
      <c r="K4" s="470" t="s">
        <v>616</v>
      </c>
      <c r="L4" s="470" t="s">
        <v>616</v>
      </c>
      <c r="M4" s="471" t="s">
        <v>616</v>
      </c>
      <c r="N4" s="471" t="s">
        <v>616</v>
      </c>
      <c r="O4" s="470" t="s">
        <v>616</v>
      </c>
    </row>
    <row r="5" spans="1:15" customFormat="1" ht="12.75" customHeight="1" x14ac:dyDescent="0.25">
      <c r="A5" s="162">
        <v>1</v>
      </c>
      <c r="B5" s="296" t="s">
        <v>1059</v>
      </c>
      <c r="C5" s="297"/>
      <c r="D5" s="297"/>
      <c r="E5" s="297"/>
      <c r="F5" s="297"/>
      <c r="G5" s="298"/>
      <c r="H5" s="472"/>
      <c r="I5" s="472"/>
      <c r="J5" s="472"/>
      <c r="K5" s="472"/>
      <c r="L5" s="472"/>
      <c r="M5" s="472"/>
      <c r="N5" s="472"/>
      <c r="O5" s="472"/>
    </row>
    <row r="6" spans="1:15" customFormat="1" ht="12.75" customHeight="1" x14ac:dyDescent="0.25">
      <c r="A6" s="162" t="s">
        <v>621</v>
      </c>
      <c r="B6" s="310"/>
      <c r="C6" s="300" t="s">
        <v>1151</v>
      </c>
      <c r="D6" s="301"/>
      <c r="E6" s="301"/>
      <c r="F6" s="301"/>
      <c r="G6" s="302"/>
      <c r="H6" s="303">
        <f>SUM(I6:O6)</f>
        <v>18652</v>
      </c>
      <c r="I6" s="358">
        <v>0</v>
      </c>
      <c r="J6" s="358">
        <v>0</v>
      </c>
      <c r="K6" s="358">
        <v>13642</v>
      </c>
      <c r="L6" s="358">
        <v>5010</v>
      </c>
      <c r="M6" s="6">
        <v>0</v>
      </c>
      <c r="N6" s="6">
        <v>0</v>
      </c>
      <c r="O6" s="358">
        <v>0</v>
      </c>
    </row>
    <row r="7" spans="1:15" customFormat="1" ht="12.75" customHeight="1" x14ac:dyDescent="0.25">
      <c r="A7" s="162" t="s">
        <v>623</v>
      </c>
      <c r="B7" s="310"/>
      <c r="C7" s="300" t="s">
        <v>1152</v>
      </c>
      <c r="D7" s="301"/>
      <c r="E7" s="301"/>
      <c r="F7" s="301"/>
      <c r="G7" s="302"/>
      <c r="H7" s="303">
        <f>SUM(I7:O7)</f>
        <v>382</v>
      </c>
      <c r="I7" s="358">
        <v>0</v>
      </c>
      <c r="J7" s="358">
        <v>0</v>
      </c>
      <c r="K7" s="358">
        <v>382</v>
      </c>
      <c r="L7" s="358">
        <v>0</v>
      </c>
      <c r="M7" s="6">
        <v>0</v>
      </c>
      <c r="N7" s="6">
        <v>0</v>
      </c>
      <c r="O7" s="358">
        <v>0</v>
      </c>
    </row>
    <row r="8" spans="1:15" customFormat="1" ht="12.75" customHeight="1" x14ac:dyDescent="0.25">
      <c r="A8" s="162"/>
      <c r="B8" s="310"/>
      <c r="C8" s="300"/>
      <c r="D8" s="301"/>
      <c r="E8" s="301"/>
      <c r="F8" s="301"/>
      <c r="G8" s="302"/>
      <c r="H8" s="303"/>
      <c r="I8" s="411"/>
      <c r="J8" s="411"/>
      <c r="K8" s="411"/>
      <c r="L8" s="411"/>
      <c r="M8" s="5"/>
      <c r="N8" s="5"/>
      <c r="O8" s="411"/>
    </row>
    <row r="9" spans="1:15" customFormat="1" ht="12.75" customHeight="1" x14ac:dyDescent="0.25">
      <c r="A9" s="162">
        <v>2</v>
      </c>
      <c r="B9" s="296" t="s">
        <v>1130</v>
      </c>
      <c r="C9" s="297"/>
      <c r="D9" s="297"/>
      <c r="E9" s="297"/>
      <c r="F9" s="297"/>
      <c r="G9" s="298"/>
      <c r="H9" s="472"/>
      <c r="I9" s="472"/>
      <c r="J9" s="472"/>
      <c r="K9" s="472"/>
      <c r="L9" s="472"/>
      <c r="M9" s="472"/>
      <c r="N9" s="472"/>
      <c r="O9" s="472"/>
    </row>
    <row r="10" spans="1:15" customFormat="1" ht="12.75" customHeight="1" x14ac:dyDescent="0.25">
      <c r="A10" s="162" t="s">
        <v>636</v>
      </c>
      <c r="B10" s="310"/>
      <c r="C10" s="300" t="s">
        <v>1151</v>
      </c>
      <c r="D10" s="301"/>
      <c r="E10" s="301"/>
      <c r="F10" s="301"/>
      <c r="G10" s="302"/>
      <c r="H10" s="303">
        <f>SUM(I10:O10)</f>
        <v>0</v>
      </c>
      <c r="I10" s="358">
        <v>0</v>
      </c>
      <c r="J10" s="358">
        <v>0</v>
      </c>
      <c r="K10" s="358">
        <v>0</v>
      </c>
      <c r="L10" s="358">
        <v>0</v>
      </c>
      <c r="M10" s="6">
        <v>0</v>
      </c>
      <c r="N10" s="6">
        <v>0</v>
      </c>
      <c r="O10" s="358">
        <v>0</v>
      </c>
    </row>
    <row r="11" spans="1:15" customFormat="1" ht="12.75" customHeight="1" x14ac:dyDescent="0.25">
      <c r="A11" s="162" t="s">
        <v>638</v>
      </c>
      <c r="B11" s="310"/>
      <c r="C11" s="300" t="s">
        <v>1152</v>
      </c>
      <c r="D11" s="301"/>
      <c r="E11" s="301"/>
      <c r="F11" s="301"/>
      <c r="G11" s="302"/>
      <c r="H11" s="303">
        <f>SUM(I11:O11)</f>
        <v>44</v>
      </c>
      <c r="I11" s="358">
        <v>0</v>
      </c>
      <c r="J11" s="358">
        <v>0</v>
      </c>
      <c r="K11" s="358">
        <v>44</v>
      </c>
      <c r="L11" s="358">
        <v>0</v>
      </c>
      <c r="M11" s="6">
        <v>0</v>
      </c>
      <c r="N11" s="6">
        <v>0</v>
      </c>
      <c r="O11" s="358">
        <v>0</v>
      </c>
    </row>
    <row r="12" spans="1:15" customFormat="1" ht="12.75" customHeight="1" x14ac:dyDescent="0.25">
      <c r="A12" s="162"/>
      <c r="B12" s="310"/>
      <c r="C12" s="300"/>
      <c r="D12" s="301"/>
      <c r="E12" s="301"/>
      <c r="F12" s="301"/>
      <c r="G12" s="302"/>
      <c r="H12" s="303"/>
      <c r="I12" s="411"/>
      <c r="J12" s="411"/>
      <c r="K12" s="411"/>
      <c r="L12" s="411"/>
      <c r="M12" s="5"/>
      <c r="N12" s="5"/>
      <c r="O12" s="411"/>
    </row>
    <row r="13" spans="1:15" customFormat="1" ht="12.75" customHeight="1" x14ac:dyDescent="0.25">
      <c r="A13" s="162">
        <v>3</v>
      </c>
      <c r="B13" s="296" t="s">
        <v>1153</v>
      </c>
      <c r="C13" s="297"/>
      <c r="D13" s="297"/>
      <c r="E13" s="297"/>
      <c r="F13" s="297"/>
      <c r="G13" s="298"/>
      <c r="H13" s="473"/>
      <c r="I13" s="473"/>
      <c r="J13" s="473"/>
      <c r="K13" s="473"/>
      <c r="L13" s="473"/>
      <c r="M13" s="474"/>
      <c r="N13" s="474"/>
      <c r="O13" s="473"/>
    </row>
    <row r="14" spans="1:15" customFormat="1" ht="12.75" customHeight="1" x14ac:dyDescent="0.25">
      <c r="A14" s="162" t="s">
        <v>736</v>
      </c>
      <c r="B14" s="310"/>
      <c r="C14" s="300" t="s">
        <v>1151</v>
      </c>
      <c r="D14" s="301"/>
      <c r="E14" s="301"/>
      <c r="F14" s="301"/>
      <c r="G14" s="302"/>
      <c r="H14" s="303">
        <f>SUM(I14:O14)</f>
        <v>141393</v>
      </c>
      <c r="I14" s="358">
        <v>19909</v>
      </c>
      <c r="J14" s="358">
        <v>1561</v>
      </c>
      <c r="K14" s="358">
        <v>47286</v>
      </c>
      <c r="L14" s="358">
        <v>65332</v>
      </c>
      <c r="M14" s="1">
        <v>0</v>
      </c>
      <c r="N14" s="1">
        <v>0</v>
      </c>
      <c r="O14" s="358">
        <v>7305</v>
      </c>
    </row>
    <row r="15" spans="1:15" customFormat="1" ht="12.75" customHeight="1" x14ac:dyDescent="0.25">
      <c r="A15" s="162" t="s">
        <v>738</v>
      </c>
      <c r="B15" s="310"/>
      <c r="C15" s="300" t="s">
        <v>1152</v>
      </c>
      <c r="D15" s="301"/>
      <c r="E15" s="301"/>
      <c r="F15" s="301"/>
      <c r="G15" s="302"/>
      <c r="H15" s="303">
        <f>SUM(I15:O15)</f>
        <v>25237</v>
      </c>
      <c r="I15" s="358">
        <v>0</v>
      </c>
      <c r="J15" s="358">
        <v>0</v>
      </c>
      <c r="K15" s="358">
        <v>12027</v>
      </c>
      <c r="L15" s="358">
        <v>0</v>
      </c>
      <c r="M15" s="1">
        <v>0</v>
      </c>
      <c r="N15" s="1">
        <v>0</v>
      </c>
      <c r="O15" s="358">
        <v>13210</v>
      </c>
    </row>
    <row r="16" spans="1:15" customFormat="1" ht="12.75" customHeight="1" x14ac:dyDescent="0.25">
      <c r="A16" s="162"/>
      <c r="B16" s="310"/>
      <c r="C16" s="300"/>
      <c r="D16" s="301"/>
      <c r="E16" s="301"/>
      <c r="F16" s="301"/>
      <c r="G16" s="302"/>
      <c r="H16" s="303"/>
      <c r="I16" s="411"/>
      <c r="J16" s="411"/>
      <c r="K16" s="411"/>
      <c r="L16" s="411"/>
      <c r="M16" s="5"/>
      <c r="N16" s="5"/>
      <c r="O16" s="411"/>
    </row>
    <row r="17" spans="1:15" customFormat="1" ht="12.75" customHeight="1" x14ac:dyDescent="0.25">
      <c r="A17" s="162">
        <v>4</v>
      </c>
      <c r="B17" s="304" t="s">
        <v>1154</v>
      </c>
      <c r="C17" s="305"/>
      <c r="D17" s="305"/>
      <c r="E17" s="305"/>
      <c r="F17" s="305"/>
      <c r="G17" s="306"/>
      <c r="H17" s="428">
        <f>SUM(I17:O17)</f>
        <v>185708</v>
      </c>
      <c r="I17" s="428">
        <f t="shared" ref="I17:O17" si="0">SUM(I6:I7)+SUM(I10:I11)+SUM(I14:I15)</f>
        <v>19909</v>
      </c>
      <c r="J17" s="428">
        <f t="shared" si="0"/>
        <v>1561</v>
      </c>
      <c r="K17" s="428">
        <f t="shared" si="0"/>
        <v>73381</v>
      </c>
      <c r="L17" s="428">
        <f t="shared" si="0"/>
        <v>70342</v>
      </c>
      <c r="M17" s="428">
        <f t="shared" si="0"/>
        <v>0</v>
      </c>
      <c r="N17" s="428">
        <f t="shared" si="0"/>
        <v>0</v>
      </c>
      <c r="O17" s="428">
        <f t="shared" si="0"/>
        <v>20515</v>
      </c>
    </row>
  </sheetData>
  <sheetProtection algorithmName="SHA-512" hashValue="0H79Jcvs2DR9JVA9WQyusRy5wLqi2XyXv1QZfTGxMSqN62rPbWxdbrTf0l+SZiG0NRfIRM4CTSCB54b743fp2A==" saltValue="nZsMKro3qBWxPyvt1B9dBQ==" spinCount="100000" sheet="1" objects="1" scenarios="1"/>
  <mergeCells count="1">
    <mergeCell ref="H1:O1"/>
  </mergeCells>
  <dataValidations count="3">
    <dataValidation type="whole" operator="greaterThan" allowBlank="1" showInputMessage="1" showErrorMessage="1" errorTitle="Whole numbers only allowed" error="All monies should be independently rounded to the nearest £1,000." sqref="I14:O15">
      <formula1>-99999999</formula1>
    </dataValidation>
    <dataValidation type="whole" operator="greaterThan" allowBlank="1" showInputMessage="1" showErrorMessage="1" errorTitle="Whole numbers only allowed" error="All monies should be independently rounded to the nearest £1,000." sqref="I10:O11">
      <formula1>-99999999</formula1>
    </dataValidation>
    <dataValidation type="whole" operator="greaterThan" allowBlank="1" showInputMessage="1" showErrorMessage="1" errorTitle="Whole numbers only allowed" error="All monies should be independently rounded to the nearest £1,000." sqref="I6:O7">
      <formula1>-99999999</formula1>
    </dataValidation>
  </dataValidations>
  <printOptions headings="1"/>
  <pageMargins left="0.70866141732283472" right="0.70866141732283472" top="0.74803149606299213" bottom="0.74803149606299213" header="0.31496062992125984" footer="0.31496062992125984"/>
  <pageSetup paperSize="9" scale="5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B58"/>
  <sheetViews>
    <sheetView zoomScale="90" zoomScaleNormal="90" workbookViewId="0"/>
  </sheetViews>
  <sheetFormatPr defaultColWidth="9.140625" defaultRowHeight="12.75" x14ac:dyDescent="0.2"/>
  <cols>
    <col min="1" max="1" width="12.28515625" style="199" customWidth="1"/>
    <col min="2" max="2" width="1.28515625" style="143" customWidth="1"/>
    <col min="3" max="3" width="0.85546875" style="143" customWidth="1"/>
    <col min="4" max="4" width="52.28515625" style="143" customWidth="1"/>
    <col min="5" max="5" width="3.28515625" style="143" hidden="1" customWidth="1"/>
    <col min="6" max="6" width="4.140625" style="143" hidden="1" customWidth="1"/>
    <col min="7" max="7" width="2.7109375" style="143" hidden="1" customWidth="1"/>
    <col min="8" max="9" width="16.28515625" style="143" customWidth="1"/>
    <col min="10" max="10" width="25.28515625" style="143" hidden="1" customWidth="1"/>
    <col min="11" max="11" width="3.28515625" style="143" hidden="1" customWidth="1"/>
    <col min="12" max="13" width="75.85546875" style="194" customWidth="1"/>
    <col min="14" max="14" width="8.85546875" style="194" customWidth="1"/>
    <col min="15" max="15" width="4.85546875" style="143" hidden="1" customWidth="1"/>
    <col min="16" max="16" width="9.140625" style="143" hidden="1" customWidth="1"/>
    <col min="17" max="17" width="29.140625" style="176" customWidth="1"/>
    <col min="18" max="18" width="13.7109375" style="143" hidden="1" customWidth="1"/>
    <col min="19" max="19" width="16.140625" style="143" hidden="1" customWidth="1"/>
    <col min="20" max="20" width="27.7109375" style="176" customWidth="1"/>
    <col min="21" max="21" width="10" style="143" hidden="1" customWidth="1"/>
    <col min="22" max="22" width="17.7109375" style="143" hidden="1" customWidth="1"/>
    <col min="23" max="23" width="29.7109375" style="143" customWidth="1"/>
    <col min="24" max="24" width="14.85546875" style="143" hidden="1" customWidth="1"/>
    <col min="25" max="25" width="18" style="143" hidden="1" customWidth="1"/>
    <col min="26" max="26" width="26.140625" style="143" customWidth="1"/>
    <col min="27" max="27" width="0.140625" style="143" hidden="1" customWidth="1"/>
    <col min="28" max="28" width="2.85546875" style="143" hidden="1" customWidth="1"/>
    <col min="29" max="29" width="9.140625" style="143" customWidth="1"/>
    <col min="30" max="16384" width="9.140625" style="143"/>
  </cols>
  <sheetData>
    <row r="1" spans="1:28" customFormat="1" ht="65.25" customHeight="1" x14ac:dyDescent="0.25">
      <c r="A1" s="144" t="s">
        <v>1155</v>
      </c>
      <c r="B1" s="619" t="s">
        <v>1156</v>
      </c>
      <c r="C1" s="619"/>
      <c r="D1" s="619"/>
      <c r="E1" s="619"/>
      <c r="F1" s="619"/>
      <c r="G1" s="619"/>
      <c r="H1" s="145"/>
      <c r="I1" s="620" t="s">
        <v>610</v>
      </c>
      <c r="J1" s="620" t="s">
        <v>611</v>
      </c>
    </row>
    <row r="2" spans="1:28" customFormat="1" ht="42" customHeight="1" x14ac:dyDescent="0.25">
      <c r="A2" s="147"/>
      <c r="B2" s="148"/>
      <c r="C2" s="148"/>
      <c r="D2" s="148"/>
      <c r="E2" s="148"/>
      <c r="F2" s="148"/>
      <c r="G2" s="148"/>
      <c r="H2" s="148"/>
      <c r="I2" s="621"/>
      <c r="J2" s="621"/>
      <c r="L2" s="656" t="s">
        <v>1157</v>
      </c>
      <c r="M2" s="656"/>
    </row>
    <row r="3" spans="1:28" customFormat="1" ht="39.75" customHeight="1" x14ac:dyDescent="0.25">
      <c r="A3" s="151"/>
      <c r="B3" s="152"/>
      <c r="C3" s="152"/>
      <c r="D3" s="152"/>
      <c r="E3" s="152"/>
      <c r="F3" s="152"/>
      <c r="G3" s="153"/>
      <c r="H3" s="154" t="s">
        <v>613</v>
      </c>
      <c r="I3" s="155" t="s">
        <v>614</v>
      </c>
      <c r="J3" s="155" t="s">
        <v>614</v>
      </c>
      <c r="L3" s="176" t="s">
        <v>613</v>
      </c>
      <c r="M3" s="161" t="s">
        <v>614</v>
      </c>
      <c r="N3" s="475"/>
      <c r="Q3" s="176"/>
      <c r="R3" s="657" t="s">
        <v>1158</v>
      </c>
      <c r="S3" s="657"/>
      <c r="U3" s="657" t="s">
        <v>1158</v>
      </c>
      <c r="V3" s="657"/>
      <c r="W3" s="176"/>
      <c r="X3" s="657" t="s">
        <v>1158</v>
      </c>
      <c r="Y3" s="657"/>
      <c r="Z3" s="176"/>
      <c r="AA3" s="657" t="s">
        <v>1158</v>
      </c>
      <c r="AB3" s="657"/>
    </row>
    <row r="4" spans="1:28" customFormat="1" ht="28.5" customHeight="1" x14ac:dyDescent="0.25">
      <c r="A4" s="157"/>
      <c r="B4" s="158"/>
      <c r="C4" s="158"/>
      <c r="D4" s="158"/>
      <c r="E4" s="158"/>
      <c r="F4" s="158"/>
      <c r="G4" s="159"/>
      <c r="H4" s="160" t="s">
        <v>616</v>
      </c>
      <c r="I4" s="160" t="s">
        <v>616</v>
      </c>
      <c r="J4" s="160" t="s">
        <v>616</v>
      </c>
      <c r="L4" s="476" t="s">
        <v>1159</v>
      </c>
      <c r="M4" s="476" t="s">
        <v>1159</v>
      </c>
      <c r="N4" s="477"/>
      <c r="Q4" s="478" t="s">
        <v>1160</v>
      </c>
      <c r="R4" s="176" t="s">
        <v>31</v>
      </c>
      <c r="S4" s="224" t="s">
        <v>1161</v>
      </c>
      <c r="T4" s="146" t="s">
        <v>1162</v>
      </c>
      <c r="U4" s="143" t="s">
        <v>31</v>
      </c>
      <c r="V4" s="224" t="s">
        <v>1161</v>
      </c>
      <c r="W4" s="478" t="s">
        <v>1163</v>
      </c>
      <c r="X4" s="176" t="s">
        <v>31</v>
      </c>
      <c r="Y4" s="224" t="s">
        <v>1161</v>
      </c>
      <c r="Z4" s="146" t="s">
        <v>1164</v>
      </c>
      <c r="AA4" s="143" t="s">
        <v>31</v>
      </c>
      <c r="AB4" s="224" t="s">
        <v>1161</v>
      </c>
    </row>
    <row r="5" spans="1:28" customFormat="1" ht="12.75" customHeight="1" x14ac:dyDescent="0.25">
      <c r="A5" s="162">
        <v>1</v>
      </c>
      <c r="B5" s="163" t="s">
        <v>619</v>
      </c>
      <c r="C5" s="164"/>
      <c r="D5" s="164"/>
      <c r="E5" s="164"/>
      <c r="F5" s="164"/>
      <c r="G5" s="165"/>
      <c r="H5" s="166"/>
      <c r="I5" s="166"/>
      <c r="J5" s="166"/>
      <c r="L5" s="194"/>
      <c r="M5" s="194"/>
      <c r="N5" s="194"/>
      <c r="O5" s="143"/>
      <c r="Q5" s="176"/>
      <c r="R5" s="176"/>
      <c r="W5" s="176"/>
      <c r="X5" s="176"/>
      <c r="Z5" s="176"/>
    </row>
    <row r="6" spans="1:28" customFormat="1" ht="12.75" customHeight="1" x14ac:dyDescent="0.25">
      <c r="A6" s="162" t="s">
        <v>621</v>
      </c>
      <c r="B6" s="169"/>
      <c r="C6" s="170" t="s">
        <v>622</v>
      </c>
      <c r="D6" s="170"/>
      <c r="E6" s="171"/>
      <c r="F6" s="171"/>
      <c r="G6" s="172"/>
      <c r="H6" s="173">
        <v>0</v>
      </c>
      <c r="I6" s="173">
        <v>0</v>
      </c>
      <c r="J6" s="178">
        <v>0</v>
      </c>
      <c r="L6" s="479"/>
      <c r="M6" s="479"/>
      <c r="N6" s="194"/>
      <c r="Q6" s="176" t="str">
        <f>IF(OR(AND(SUM(Table_10_UK!H6)&lt;&gt;0,ISBLANK(Table_10_UK!L6))),"Fail", "Pass")</f>
        <v>Pass</v>
      </c>
      <c r="R6" s="176" t="s">
        <v>1165</v>
      </c>
      <c r="S6" s="143" t="str">
        <f t="shared" ref="S6:S11" si="0">IF(Q6 = "Fail", R6, "")</f>
        <v/>
      </c>
      <c r="T6" s="176" t="str">
        <f t="shared" ref="T6:T11" si="1">IF(AND(SUM(H6)=0,NOT(ISBLANK(L6))),"Fail","Pass")</f>
        <v>Pass</v>
      </c>
      <c r="U6" s="143" t="s">
        <v>1166</v>
      </c>
      <c r="V6" s="143" t="str">
        <f t="shared" ref="V6:V11" si="2">IF(T6 = "Fail", U6, "")</f>
        <v/>
      </c>
      <c r="W6" s="176" t="str">
        <f>IF(OR(AND(SUM(Table_10_UK!I6)&lt;&gt;0,ISBLANK(Table_10_UK!M6))),"Fail", "Pass")</f>
        <v>Pass</v>
      </c>
      <c r="X6" s="176" t="s">
        <v>1167</v>
      </c>
      <c r="Y6" s="143" t="str">
        <f t="shared" ref="Y6:Y11" si="3">IF(W6 = "Fail", X6, "")</f>
        <v/>
      </c>
      <c r="Z6" s="176" t="str">
        <f t="shared" ref="Z6:Z11" si="4">IF(AND(SUM(I6)=0,NOT(ISBLANK(M6))),"Fail","Pass")</f>
        <v>Pass</v>
      </c>
      <c r="AA6" s="143" t="s">
        <v>1168</v>
      </c>
      <c r="AB6" s="143" t="str">
        <f t="shared" ref="AB6:AB11" si="5">IF(Z6 = "Fail", AA6, "")</f>
        <v/>
      </c>
    </row>
    <row r="7" spans="1:28" customFormat="1" ht="12.75" customHeight="1" x14ac:dyDescent="0.25">
      <c r="A7" s="162" t="s">
        <v>623</v>
      </c>
      <c r="B7" s="169"/>
      <c r="C7" s="170" t="s">
        <v>624</v>
      </c>
      <c r="D7" s="170"/>
      <c r="E7" s="171"/>
      <c r="F7" s="171"/>
      <c r="G7" s="172"/>
      <c r="H7" s="173">
        <v>0</v>
      </c>
      <c r="I7" s="173">
        <v>0</v>
      </c>
      <c r="J7" s="178">
        <v>0</v>
      </c>
      <c r="L7" s="479"/>
      <c r="M7" s="479"/>
      <c r="N7" s="194"/>
      <c r="Q7" s="176" t="str">
        <f>IF(OR(AND(SUM(Table_10_UK!H7)&lt;&gt;0,ISBLANK(Table_10_UK!L7))),"Fail", "Pass")</f>
        <v>Pass</v>
      </c>
      <c r="R7" s="176" t="s">
        <v>1169</v>
      </c>
      <c r="S7" s="143" t="str">
        <f t="shared" si="0"/>
        <v/>
      </c>
      <c r="T7" s="176" t="str">
        <f t="shared" si="1"/>
        <v>Pass</v>
      </c>
      <c r="U7" s="143" t="s">
        <v>1170</v>
      </c>
      <c r="V7" s="143" t="str">
        <f t="shared" si="2"/>
        <v/>
      </c>
      <c r="W7" s="176" t="str">
        <f>IF(OR(AND(SUM(Table_10_UK!I7)&lt;&gt;0,ISBLANK(Table_10_UK!M7))),"Fail", "Pass")</f>
        <v>Pass</v>
      </c>
      <c r="X7" s="176" t="s">
        <v>1171</v>
      </c>
      <c r="Y7" s="143" t="str">
        <f t="shared" si="3"/>
        <v/>
      </c>
      <c r="Z7" s="176" t="str">
        <f t="shared" si="4"/>
        <v>Pass</v>
      </c>
      <c r="AA7" s="143" t="s">
        <v>1172</v>
      </c>
      <c r="AB7" s="143" t="str">
        <f t="shared" si="5"/>
        <v/>
      </c>
    </row>
    <row r="8" spans="1:28" customFormat="1" ht="12.75" customHeight="1" x14ac:dyDescent="0.25">
      <c r="A8" s="162" t="s">
        <v>625</v>
      </c>
      <c r="B8" s="169"/>
      <c r="C8" s="170" t="s">
        <v>626</v>
      </c>
      <c r="D8" s="170"/>
      <c r="E8" s="171"/>
      <c r="F8" s="171"/>
      <c r="G8" s="172"/>
      <c r="H8" s="173">
        <v>0</v>
      </c>
      <c r="I8" s="173">
        <v>0</v>
      </c>
      <c r="J8" s="178">
        <v>0</v>
      </c>
      <c r="L8" s="479"/>
      <c r="M8" s="479"/>
      <c r="N8" s="194"/>
      <c r="Q8" s="176" t="str">
        <f>IF(OR(AND(SUM(Table_10_UK!H8)&lt;&gt;0,ISBLANK(Table_10_UK!L8))),"Fail", "Pass")</f>
        <v>Pass</v>
      </c>
      <c r="R8" s="176" t="s">
        <v>1173</v>
      </c>
      <c r="S8" s="143" t="str">
        <f t="shared" si="0"/>
        <v/>
      </c>
      <c r="T8" s="176" t="str">
        <f t="shared" si="1"/>
        <v>Pass</v>
      </c>
      <c r="U8" s="143" t="s">
        <v>1174</v>
      </c>
      <c r="V8" s="143" t="str">
        <f t="shared" si="2"/>
        <v/>
      </c>
      <c r="W8" s="176" t="str">
        <f>IF(OR(AND(SUM(Table_10_UK!I8)&lt;&gt;0,ISBLANK(Table_10_UK!M8))),"Fail", "Pass")</f>
        <v>Pass</v>
      </c>
      <c r="X8" s="176" t="s">
        <v>1175</v>
      </c>
      <c r="Y8" s="143" t="str">
        <f t="shared" si="3"/>
        <v/>
      </c>
      <c r="Z8" s="176" t="str">
        <f t="shared" si="4"/>
        <v>Pass</v>
      </c>
      <c r="AA8" s="143" t="s">
        <v>1176</v>
      </c>
      <c r="AB8" s="143" t="str">
        <f t="shared" si="5"/>
        <v/>
      </c>
    </row>
    <row r="9" spans="1:28" customFormat="1" ht="12.75" customHeight="1" x14ac:dyDescent="0.25">
      <c r="A9" s="162" t="s">
        <v>627</v>
      </c>
      <c r="B9" s="169"/>
      <c r="C9" s="170" t="s">
        <v>628</v>
      </c>
      <c r="D9" s="170"/>
      <c r="E9" s="171"/>
      <c r="F9" s="171"/>
      <c r="G9" s="172"/>
      <c r="H9" s="173">
        <v>0</v>
      </c>
      <c r="I9" s="173">
        <v>0</v>
      </c>
      <c r="J9" s="178">
        <v>0</v>
      </c>
      <c r="L9" s="479"/>
      <c r="M9" s="479"/>
      <c r="N9" s="194"/>
      <c r="Q9" s="176" t="str">
        <f>IF(OR(AND(SUM(Table_10_UK!H9)&lt;&gt;0,ISBLANK(Table_10_UK!L9))),"Fail", "Pass")</f>
        <v>Pass</v>
      </c>
      <c r="R9" s="176" t="s">
        <v>1177</v>
      </c>
      <c r="S9" s="143" t="str">
        <f t="shared" si="0"/>
        <v/>
      </c>
      <c r="T9" s="176" t="str">
        <f t="shared" si="1"/>
        <v>Pass</v>
      </c>
      <c r="U9" s="143" t="s">
        <v>1178</v>
      </c>
      <c r="V9" s="143" t="str">
        <f t="shared" si="2"/>
        <v/>
      </c>
      <c r="W9" s="176" t="str">
        <f>IF(OR(AND(SUM(Table_10_UK!I9)&lt;&gt;0,ISBLANK(Table_10_UK!M9))),"Fail", "Pass")</f>
        <v>Pass</v>
      </c>
      <c r="X9" s="176" t="s">
        <v>1179</v>
      </c>
      <c r="Y9" s="143" t="str">
        <f t="shared" si="3"/>
        <v/>
      </c>
      <c r="Z9" s="176" t="str">
        <f t="shared" si="4"/>
        <v>Pass</v>
      </c>
      <c r="AA9" s="143" t="s">
        <v>1180</v>
      </c>
      <c r="AB9" s="143" t="str">
        <f t="shared" si="5"/>
        <v/>
      </c>
    </row>
    <row r="10" spans="1:28" customFormat="1" ht="12.75" customHeight="1" x14ac:dyDescent="0.25">
      <c r="A10" s="162" t="s">
        <v>629</v>
      </c>
      <c r="B10" s="169"/>
      <c r="C10" s="170" t="s">
        <v>630</v>
      </c>
      <c r="D10" s="170"/>
      <c r="E10" s="171"/>
      <c r="F10" s="171"/>
      <c r="G10" s="172"/>
      <c r="H10" s="173">
        <v>0</v>
      </c>
      <c r="I10" s="173">
        <v>0</v>
      </c>
      <c r="J10" s="178">
        <v>0</v>
      </c>
      <c r="L10" s="479"/>
      <c r="M10" s="479"/>
      <c r="N10" s="194"/>
      <c r="Q10" s="176" t="str">
        <f>IF(OR(AND(SUM(Table_10_UK!H10)&lt;&gt;0,ISBLANK(Table_10_UK!L10))),"Fail", "Pass")</f>
        <v>Pass</v>
      </c>
      <c r="R10" s="176" t="s">
        <v>1181</v>
      </c>
      <c r="S10" s="143" t="str">
        <f t="shared" si="0"/>
        <v/>
      </c>
      <c r="T10" s="176" t="str">
        <f t="shared" si="1"/>
        <v>Pass</v>
      </c>
      <c r="U10" s="143" t="s">
        <v>1182</v>
      </c>
      <c r="V10" s="143" t="str">
        <f t="shared" si="2"/>
        <v/>
      </c>
      <c r="W10" s="176" t="str">
        <f>IF(OR(AND(SUM(Table_10_UK!I10)&lt;&gt;0,ISBLANK(Table_10_UK!M10))),"Fail", "Pass")</f>
        <v>Pass</v>
      </c>
      <c r="X10" s="176" t="s">
        <v>1183</v>
      </c>
      <c r="Y10" s="143" t="str">
        <f t="shared" si="3"/>
        <v/>
      </c>
      <c r="Z10" s="176" t="str">
        <f t="shared" si="4"/>
        <v>Pass</v>
      </c>
      <c r="AA10" s="143" t="s">
        <v>1184</v>
      </c>
      <c r="AB10" s="143" t="str">
        <f t="shared" si="5"/>
        <v/>
      </c>
    </row>
    <row r="11" spans="1:28" customFormat="1" ht="12.75" customHeight="1" x14ac:dyDescent="0.25">
      <c r="A11" s="162" t="s">
        <v>631</v>
      </c>
      <c r="B11" s="11"/>
      <c r="C11" s="179" t="s">
        <v>632</v>
      </c>
      <c r="D11" s="171"/>
      <c r="E11" s="171"/>
      <c r="F11" s="171"/>
      <c r="G11" s="172"/>
      <c r="H11" s="173">
        <v>0</v>
      </c>
      <c r="I11" s="173">
        <v>0</v>
      </c>
      <c r="J11" s="178">
        <v>0</v>
      </c>
      <c r="L11" s="480"/>
      <c r="M11" s="479"/>
      <c r="N11" s="194"/>
      <c r="Q11" s="176" t="str">
        <f>IF(OR(AND(SUM(Table_10_UK!H11)&lt;&gt;0,ISBLANK(Table_10_UK!L11))),"Fail", "Pass")</f>
        <v>Pass</v>
      </c>
      <c r="R11" s="176" t="s">
        <v>1185</v>
      </c>
      <c r="S11" s="143" t="str">
        <f t="shared" si="0"/>
        <v/>
      </c>
      <c r="T11" s="176" t="str">
        <f t="shared" si="1"/>
        <v>Pass</v>
      </c>
      <c r="U11" s="143" t="s">
        <v>1186</v>
      </c>
      <c r="V11" s="143" t="str">
        <f t="shared" si="2"/>
        <v/>
      </c>
      <c r="W11" s="176" t="str">
        <f>IF(OR(AND(SUM(Table_10_UK!I11)&lt;&gt;0,ISBLANK(Table_10_UK!M11))),"Fail", "Pass")</f>
        <v>Pass</v>
      </c>
      <c r="X11" s="176" t="s">
        <v>1187</v>
      </c>
      <c r="Y11" s="143" t="str">
        <f t="shared" si="3"/>
        <v/>
      </c>
      <c r="Z11" s="176" t="str">
        <f t="shared" si="4"/>
        <v>Pass</v>
      </c>
      <c r="AA11" s="143" t="s">
        <v>1188</v>
      </c>
      <c r="AB11" s="143" t="str">
        <f t="shared" si="5"/>
        <v/>
      </c>
    </row>
    <row r="12" spans="1:28" customFormat="1" ht="12.75" customHeight="1" x14ac:dyDescent="0.25">
      <c r="A12" s="162" t="s">
        <v>633</v>
      </c>
      <c r="B12" s="180" t="s">
        <v>634</v>
      </c>
      <c r="C12" s="181"/>
      <c r="D12" s="181"/>
      <c r="E12" s="181"/>
      <c r="F12" s="181"/>
      <c r="G12" s="182"/>
      <c r="H12" s="183"/>
      <c r="I12" s="183"/>
      <c r="J12" s="183"/>
      <c r="L12" s="481"/>
      <c r="M12" s="481"/>
      <c r="N12" s="194"/>
      <c r="O12" s="143"/>
      <c r="R12" s="176"/>
      <c r="W12" s="176"/>
      <c r="X12" s="176"/>
      <c r="Z12" s="176"/>
    </row>
    <row r="13" spans="1:28" customFormat="1" ht="12.75" customHeight="1" x14ac:dyDescent="0.25">
      <c r="A13" s="162"/>
      <c r="B13" s="184"/>
      <c r="C13" s="179"/>
      <c r="D13" s="179"/>
      <c r="E13" s="179"/>
      <c r="F13" s="179"/>
      <c r="G13" s="185"/>
      <c r="H13" s="186"/>
      <c r="I13" s="186"/>
      <c r="J13" s="186"/>
      <c r="L13" s="475"/>
      <c r="M13" s="475"/>
      <c r="N13" s="194"/>
      <c r="O13" s="143"/>
      <c r="R13" s="176"/>
      <c r="W13" s="176"/>
      <c r="X13" s="176"/>
      <c r="Z13" s="176"/>
    </row>
    <row r="14" spans="1:28" customFormat="1" ht="12.75" customHeight="1" x14ac:dyDescent="0.25">
      <c r="A14" s="162">
        <v>2</v>
      </c>
      <c r="B14" s="163" t="s">
        <v>635</v>
      </c>
      <c r="C14" s="164"/>
      <c r="D14" s="164"/>
      <c r="E14" s="164"/>
      <c r="F14" s="164"/>
      <c r="G14" s="165"/>
      <c r="H14" s="187"/>
      <c r="I14" s="187"/>
      <c r="J14" s="187"/>
      <c r="L14" s="482"/>
      <c r="M14" s="482"/>
      <c r="N14" s="194"/>
      <c r="O14" s="143"/>
      <c r="R14" s="176"/>
      <c r="W14" s="176"/>
      <c r="X14" s="176"/>
      <c r="Z14" s="176"/>
    </row>
    <row r="15" spans="1:28" customFormat="1" ht="12.75" customHeight="1" x14ac:dyDescent="0.25">
      <c r="A15" s="162" t="s">
        <v>636</v>
      </c>
      <c r="B15" s="169"/>
      <c r="C15" s="179" t="s">
        <v>637</v>
      </c>
      <c r="D15" s="171"/>
      <c r="E15" s="171"/>
      <c r="F15" s="171"/>
      <c r="G15" s="172"/>
      <c r="H15" s="173">
        <v>0</v>
      </c>
      <c r="I15" s="173">
        <v>0</v>
      </c>
      <c r="J15" s="178">
        <v>0</v>
      </c>
      <c r="L15" s="479"/>
      <c r="M15" s="479"/>
      <c r="N15" s="194"/>
      <c r="Q15" s="176" t="str">
        <f>IF(OR(AND(SUM(Table_10_UK!H15)&lt;&gt;0,ISBLANK(Table_10_UK!L15))),"Fail", "Pass")</f>
        <v>Pass</v>
      </c>
      <c r="R15" s="176" t="s">
        <v>1189</v>
      </c>
      <c r="S15" s="143" t="str">
        <f>IF(Q15 = "Fail", R15, "")</f>
        <v/>
      </c>
      <c r="T15" s="176" t="str">
        <f>IF(AND(SUM(H15)=0,NOT(ISBLANK(L15))),"Fail","Pass")</f>
        <v>Pass</v>
      </c>
      <c r="U15" s="143" t="s">
        <v>1190</v>
      </c>
      <c r="V15" s="143" t="str">
        <f>IF(T15 = "Fail", U15, "")</f>
        <v/>
      </c>
      <c r="W15" s="176" t="str">
        <f>IF(OR(AND(SUM(Table_10_UK!I15)&lt;&gt;0,ISBLANK(Table_10_UK!M15))),"Fail", "Pass")</f>
        <v>Pass</v>
      </c>
      <c r="X15" s="176" t="s">
        <v>1191</v>
      </c>
      <c r="Y15" s="143" t="str">
        <f>IF(W15 = "Fail", X15, "")</f>
        <v/>
      </c>
      <c r="Z15" s="176" t="str">
        <f>IF(AND(SUM(I15)=0,NOT(ISBLANK(M15))),"Fail","Pass")</f>
        <v>Pass</v>
      </c>
      <c r="AA15" s="143" t="s">
        <v>1192</v>
      </c>
      <c r="AB15" s="143" t="str">
        <f>IF(Z15 = "Fail", AA15, "")</f>
        <v/>
      </c>
    </row>
    <row r="16" spans="1:28" customFormat="1" ht="12.75" customHeight="1" x14ac:dyDescent="0.25">
      <c r="A16" s="162" t="s">
        <v>638</v>
      </c>
      <c r="B16" s="169"/>
      <c r="C16" s="179" t="s">
        <v>639</v>
      </c>
      <c r="D16" s="171"/>
      <c r="E16" s="171"/>
      <c r="F16" s="171"/>
      <c r="G16" s="172"/>
      <c r="H16" s="173">
        <v>0</v>
      </c>
      <c r="I16" s="173">
        <v>0</v>
      </c>
      <c r="J16" s="178">
        <v>0</v>
      </c>
      <c r="L16" s="479"/>
      <c r="M16" s="479"/>
      <c r="N16" s="194"/>
      <c r="Q16" s="176" t="str">
        <f>IF(OR(AND(SUM(Table_10_UK!H16)&lt;&gt;0,ISBLANK(Table_10_UK!L16))),"Fail", "Pass")</f>
        <v>Pass</v>
      </c>
      <c r="R16" s="176" t="s">
        <v>1193</v>
      </c>
      <c r="S16" s="143" t="str">
        <f>IF(Q16 = "Fail", R16, "")</f>
        <v/>
      </c>
      <c r="T16" s="176" t="str">
        <f>IF(AND(SUM(H16)=0,NOT(ISBLANK(L16))),"Fail","Pass")</f>
        <v>Pass</v>
      </c>
      <c r="U16" s="143" t="s">
        <v>1194</v>
      </c>
      <c r="V16" s="143" t="str">
        <f>IF(T16 = "Fail", U16, "")</f>
        <v/>
      </c>
      <c r="W16" s="176" t="str">
        <f>IF(OR(AND(SUM(Table_10_UK!I16)&lt;&gt;0,ISBLANK(Table_10_UK!M16))),"Fail", "Pass")</f>
        <v>Pass</v>
      </c>
      <c r="X16" s="176" t="s">
        <v>1195</v>
      </c>
      <c r="Y16" s="143" t="str">
        <f>IF(W16 = "Fail", X16, "")</f>
        <v/>
      </c>
      <c r="Z16" s="176" t="str">
        <f>IF(AND(SUM(I16)=0,NOT(ISBLANK(M16))),"Fail","Pass")</f>
        <v>Pass</v>
      </c>
      <c r="AA16" s="143" t="s">
        <v>1196</v>
      </c>
      <c r="AB16" s="143" t="str">
        <f>IF(Z16 = "Fail", AA16, "")</f>
        <v/>
      </c>
    </row>
    <row r="17" spans="1:28" customFormat="1" ht="12.75" customHeight="1" x14ac:dyDescent="0.25">
      <c r="A17" s="162" t="s">
        <v>640</v>
      </c>
      <c r="B17" s="12"/>
      <c r="C17" s="185" t="s">
        <v>641</v>
      </c>
      <c r="D17" s="171"/>
      <c r="E17" s="171"/>
      <c r="F17" s="171"/>
      <c r="G17" s="172"/>
      <c r="H17" s="173">
        <v>0</v>
      </c>
      <c r="I17" s="173">
        <v>0</v>
      </c>
      <c r="J17" s="178">
        <v>0</v>
      </c>
      <c r="L17" s="479"/>
      <c r="M17" s="479"/>
      <c r="N17" s="194"/>
      <c r="Q17" s="176" t="str">
        <f>IF(OR(AND(SUM(Table_10_UK!H17)&lt;&gt;0,ISBLANK(Table_10_UK!L17))),"Fail", "Pass")</f>
        <v>Pass</v>
      </c>
      <c r="R17" s="176" t="s">
        <v>1197</v>
      </c>
      <c r="S17" s="143" t="str">
        <f>IF(Q17 = "Fail", R17, "")</f>
        <v/>
      </c>
      <c r="T17" s="176" t="str">
        <f>IF(AND(SUM(H17)=0,NOT(ISBLANK(L17))),"Fail","Pass")</f>
        <v>Pass</v>
      </c>
      <c r="U17" s="143" t="s">
        <v>1198</v>
      </c>
      <c r="V17" s="143" t="str">
        <f>IF(T17 = "Fail", U17, "")</f>
        <v/>
      </c>
      <c r="W17" s="176" t="str">
        <f>IF(OR(AND(SUM(Table_10_UK!I17)&lt;&gt;0,ISBLANK(Table_10_UK!M17))),"Fail", "Pass")</f>
        <v>Pass</v>
      </c>
      <c r="X17" s="176" t="s">
        <v>1199</v>
      </c>
      <c r="Y17" s="143" t="str">
        <f>IF(W17 = "Fail", X17, "")</f>
        <v/>
      </c>
      <c r="Z17" s="176" t="str">
        <f>IF(AND(SUM(I17)=0,NOT(ISBLANK(M17))),"Fail","Pass")</f>
        <v>Pass</v>
      </c>
      <c r="AA17" s="143" t="s">
        <v>1200</v>
      </c>
      <c r="AB17" s="143" t="str">
        <f>IF(Z17 = "Fail", AA17, "")</f>
        <v/>
      </c>
    </row>
    <row r="18" spans="1:28" customFormat="1" ht="12.75" customHeight="1" x14ac:dyDescent="0.25">
      <c r="A18" s="162" t="s">
        <v>642</v>
      </c>
      <c r="B18" s="169"/>
      <c r="C18" s="185" t="s">
        <v>643</v>
      </c>
      <c r="D18" s="171"/>
      <c r="E18" s="171"/>
      <c r="F18" s="171"/>
      <c r="G18" s="172"/>
      <c r="H18" s="173">
        <v>0</v>
      </c>
      <c r="I18" s="173">
        <v>0</v>
      </c>
      <c r="J18" s="178">
        <v>0</v>
      </c>
      <c r="L18" s="479"/>
      <c r="M18" s="479"/>
      <c r="N18" s="194"/>
      <c r="Q18" s="176" t="str">
        <f>IF(OR(AND(SUM(Table_10_UK!H18)&lt;&gt;0,ISBLANK(Table_10_UK!L18))),"Fail", "Pass")</f>
        <v>Pass</v>
      </c>
      <c r="R18" s="176" t="s">
        <v>1201</v>
      </c>
      <c r="S18" s="143" t="str">
        <f>IF(Q18 = "Fail", R18, "")</f>
        <v/>
      </c>
      <c r="T18" s="176" t="str">
        <f>IF(AND(SUM(H18)=0,NOT(ISBLANK(L18))),"Fail","Pass")</f>
        <v>Pass</v>
      </c>
      <c r="U18" s="143" t="s">
        <v>1202</v>
      </c>
      <c r="V18" s="143" t="str">
        <f>IF(T18 = "Fail", U18, "")</f>
        <v/>
      </c>
      <c r="W18" s="176" t="str">
        <f>IF(OR(AND(SUM(Table_10_UK!I18)&lt;&gt;0,ISBLANK(Table_10_UK!M18))),"Fail", "Pass")</f>
        <v>Pass</v>
      </c>
      <c r="X18" s="176" t="s">
        <v>1203</v>
      </c>
      <c r="Y18" s="143" t="str">
        <f>IF(W18 = "Fail", X18, "")</f>
        <v/>
      </c>
      <c r="Z18" s="176" t="str">
        <f>IF(AND(SUM(I18)=0,NOT(ISBLANK(M18))),"Fail","Pass")</f>
        <v>Pass</v>
      </c>
      <c r="AA18" s="143" t="s">
        <v>1204</v>
      </c>
      <c r="AB18" s="143" t="str">
        <f>IF(Z18 = "Fail", AA18, "")</f>
        <v/>
      </c>
    </row>
    <row r="19" spans="1:28" customFormat="1" ht="12.75" customHeight="1" x14ac:dyDescent="0.25">
      <c r="A19" s="162" t="s">
        <v>644</v>
      </c>
      <c r="B19" s="12"/>
      <c r="C19" s="185" t="s">
        <v>645</v>
      </c>
      <c r="D19" s="171"/>
      <c r="E19" s="171"/>
      <c r="F19" s="171"/>
      <c r="G19" s="172"/>
      <c r="H19" s="173">
        <v>0</v>
      </c>
      <c r="I19" s="173">
        <v>0</v>
      </c>
      <c r="J19" s="178">
        <v>0</v>
      </c>
      <c r="L19" s="479"/>
      <c r="M19" s="479"/>
      <c r="N19" s="194"/>
      <c r="Q19" s="176" t="str">
        <f>IF(OR(AND(SUM(Table_10_UK!H19)&lt;&gt;0,ISBLANK(Table_10_UK!L19))),"Fail", "Pass")</f>
        <v>Pass</v>
      </c>
      <c r="R19" s="176" t="s">
        <v>1205</v>
      </c>
      <c r="S19" s="143" t="str">
        <f>IF(Q19 = "Fail", R19, "")</f>
        <v/>
      </c>
      <c r="T19" s="176" t="str">
        <f>IF(AND(SUM(H19)=0,NOT(ISBLANK(L19))),"Fail","Pass")</f>
        <v>Pass</v>
      </c>
      <c r="U19" s="143" t="s">
        <v>1206</v>
      </c>
      <c r="V19" s="143" t="str">
        <f>IF(T19 = "Fail", U19, "")</f>
        <v/>
      </c>
      <c r="W19" s="176" t="str">
        <f>IF(OR(AND(SUM(Table_10_UK!I19)&lt;&gt;0,ISBLANK(Table_10_UK!M19))),"Fail", "Pass")</f>
        <v>Pass</v>
      </c>
      <c r="X19" s="176" t="s">
        <v>1207</v>
      </c>
      <c r="Y19" s="143" t="str">
        <f>IF(W19 = "Fail", X19, "")</f>
        <v/>
      </c>
      <c r="Z19" s="176" t="str">
        <f>IF(AND(SUM(I19)=0,NOT(ISBLANK(M19))),"Fail","Pass")</f>
        <v>Pass</v>
      </c>
      <c r="AA19" s="143" t="s">
        <v>1208</v>
      </c>
      <c r="AB19" s="143" t="str">
        <f>IF(Z19 = "Fail", AA19, "")</f>
        <v/>
      </c>
    </row>
    <row r="20" spans="1:28" customFormat="1" ht="12.75" customHeight="1" x14ac:dyDescent="0.25">
      <c r="A20" s="162" t="s">
        <v>646</v>
      </c>
      <c r="B20" s="180" t="s">
        <v>647</v>
      </c>
      <c r="C20" s="181"/>
      <c r="D20" s="181"/>
      <c r="E20" s="181"/>
      <c r="F20" s="181"/>
      <c r="G20" s="182"/>
      <c r="H20" s="183"/>
      <c r="I20" s="183"/>
      <c r="J20" s="183"/>
      <c r="L20" s="481"/>
      <c r="M20" s="481"/>
      <c r="N20" s="194"/>
      <c r="O20" s="143"/>
      <c r="R20" s="176"/>
      <c r="W20" s="176"/>
      <c r="X20" s="176"/>
      <c r="Z20" s="176"/>
    </row>
    <row r="21" spans="1:28" customFormat="1" ht="12.75" customHeight="1" x14ac:dyDescent="0.25">
      <c r="A21" s="162"/>
      <c r="B21" s="11"/>
      <c r="C21" s="171"/>
      <c r="D21" s="171"/>
      <c r="E21" s="171"/>
      <c r="F21" s="171"/>
      <c r="G21" s="172"/>
      <c r="H21" s="4"/>
      <c r="I21" s="4"/>
      <c r="J21" s="4"/>
      <c r="L21" s="475"/>
      <c r="M21" s="475"/>
      <c r="N21" s="194"/>
      <c r="O21" s="143"/>
      <c r="R21" s="176"/>
      <c r="W21" s="176"/>
      <c r="X21" s="176"/>
      <c r="Z21" s="176"/>
    </row>
    <row r="22" spans="1:28" customFormat="1" ht="25.5" customHeight="1" x14ac:dyDescent="0.25">
      <c r="A22" s="162">
        <v>3</v>
      </c>
      <c r="B22" s="616" t="s">
        <v>648</v>
      </c>
      <c r="C22" s="617"/>
      <c r="D22" s="617"/>
      <c r="E22" s="617"/>
      <c r="F22" s="617"/>
      <c r="G22" s="618"/>
      <c r="H22" s="183"/>
      <c r="I22" s="183"/>
      <c r="J22" s="183"/>
      <c r="K22" s="143"/>
      <c r="L22" s="475"/>
      <c r="M22" s="475"/>
      <c r="N22" s="194"/>
      <c r="R22" s="176"/>
      <c r="W22" s="176"/>
      <c r="X22" s="176"/>
      <c r="Z22" s="176"/>
    </row>
    <row r="23" spans="1:28" customFormat="1" ht="12.75" customHeight="1" x14ac:dyDescent="0.25">
      <c r="A23" s="162"/>
      <c r="B23" s="184"/>
      <c r="C23" s="179"/>
      <c r="D23" s="179"/>
      <c r="E23" s="179"/>
      <c r="F23" s="179"/>
      <c r="G23" s="185"/>
      <c r="H23" s="186"/>
      <c r="I23" s="186"/>
      <c r="J23" s="186"/>
      <c r="L23" s="482"/>
      <c r="M23" s="482"/>
      <c r="N23" s="194"/>
      <c r="O23" s="143"/>
      <c r="R23" s="176"/>
      <c r="W23" s="176"/>
      <c r="X23" s="176"/>
      <c r="Z23" s="176"/>
    </row>
    <row r="24" spans="1:28" customFormat="1" ht="12.75" customHeight="1" x14ac:dyDescent="0.25">
      <c r="A24" s="162">
        <v>4</v>
      </c>
      <c r="B24" s="188" t="s">
        <v>649</v>
      </c>
      <c r="C24" s="189"/>
      <c r="D24" s="189"/>
      <c r="E24" s="189"/>
      <c r="F24" s="189"/>
      <c r="G24" s="190"/>
      <c r="H24" s="173">
        <v>0</v>
      </c>
      <c r="I24" s="173">
        <v>0</v>
      </c>
      <c r="J24" s="178">
        <v>0</v>
      </c>
      <c r="L24" s="479"/>
      <c r="M24" s="479"/>
      <c r="N24" s="194"/>
      <c r="Q24" s="176" t="str">
        <f>IF(OR(AND(SUM(Table_10_UK!H24)&lt;&gt;0,ISBLANK(Table_10_UK!L24))),"Fail", "Pass")</f>
        <v>Pass</v>
      </c>
      <c r="R24" s="176" t="s">
        <v>1209</v>
      </c>
      <c r="S24" s="143" t="str">
        <f>IF(Q24 = "Fail", R24, "")</f>
        <v/>
      </c>
      <c r="T24" s="176" t="str">
        <f>IF(AND(SUM(H24)=0,NOT(ISBLANK(L24))),"Fail","Pass")</f>
        <v>Pass</v>
      </c>
      <c r="U24" s="143" t="s">
        <v>1210</v>
      </c>
      <c r="V24" s="143" t="str">
        <f>IF(T24 = "Fail", U24, "")</f>
        <v/>
      </c>
      <c r="W24" s="176" t="str">
        <f>IF(OR(AND(SUM(Table_10_UK!I24)&lt;&gt;0,ISBLANK(Table_10_UK!M24))),"Fail", "Pass")</f>
        <v>Pass</v>
      </c>
      <c r="X24" s="176" t="s">
        <v>1211</v>
      </c>
      <c r="Y24" s="143" t="str">
        <f>IF(W24 = "Fail", X24, "")</f>
        <v/>
      </c>
      <c r="Z24" s="176" t="str">
        <f>IF(AND(SUM(I24)=0,NOT(ISBLANK(M24))),"Fail","Pass")</f>
        <v>Pass</v>
      </c>
      <c r="AA24" s="143" t="s">
        <v>1212</v>
      </c>
      <c r="AB24" s="143" t="str">
        <f>IF(Z24 = "Fail", AA24, "")</f>
        <v/>
      </c>
    </row>
    <row r="25" spans="1:28" customFormat="1" ht="12.75" customHeight="1" x14ac:dyDescent="0.25">
      <c r="A25" s="162">
        <v>5</v>
      </c>
      <c r="B25" s="188" t="s">
        <v>650</v>
      </c>
      <c r="C25" s="189"/>
      <c r="D25" s="189"/>
      <c r="E25" s="189"/>
      <c r="F25" s="189"/>
      <c r="G25" s="190"/>
      <c r="H25" s="173">
        <v>0</v>
      </c>
      <c r="I25" s="173">
        <v>0</v>
      </c>
      <c r="J25" s="178">
        <v>0</v>
      </c>
      <c r="L25" s="479"/>
      <c r="M25" s="479"/>
      <c r="N25" s="194"/>
      <c r="Q25" s="176" t="str">
        <f>IF(OR(AND(SUM(Table_10_UK!H25)&lt;&gt;0,ISBLANK(Table_10_UK!L25))),"Fail", "Pass")</f>
        <v>Pass</v>
      </c>
      <c r="R25" s="176" t="s">
        <v>1213</v>
      </c>
      <c r="S25" s="143" t="str">
        <f>IF(Q25 = "Fail", R25, "")</f>
        <v/>
      </c>
      <c r="T25" s="176" t="str">
        <f>IF(AND(SUM(H25)=0,NOT(ISBLANK(L25))),"Fail","Pass")</f>
        <v>Pass</v>
      </c>
      <c r="U25" s="143" t="s">
        <v>1214</v>
      </c>
      <c r="V25" s="143" t="str">
        <f>IF(T25 = "Fail", U25, "")</f>
        <v/>
      </c>
      <c r="W25" s="176" t="str">
        <f>IF(OR(AND(SUM(Table_10_UK!I25)&lt;&gt;0,ISBLANK(Table_10_UK!M25))),"Fail", "Pass")</f>
        <v>Pass</v>
      </c>
      <c r="X25" s="176" t="s">
        <v>1215</v>
      </c>
      <c r="Y25" s="143" t="str">
        <f>IF(W25 = "Fail", X25, "")</f>
        <v/>
      </c>
      <c r="Z25" s="176" t="str">
        <f>IF(AND(SUM(I25)=0,NOT(ISBLANK(M25))),"Fail","Pass")</f>
        <v>Pass</v>
      </c>
      <c r="AA25" s="143" t="s">
        <v>1216</v>
      </c>
      <c r="AB25" s="143" t="str">
        <f>IF(Z25 = "Fail", AA25, "")</f>
        <v/>
      </c>
    </row>
    <row r="26" spans="1:28" customFormat="1" ht="12.75" customHeight="1" x14ac:dyDescent="0.25">
      <c r="A26" s="162">
        <v>6</v>
      </c>
      <c r="B26" s="184" t="s">
        <v>651</v>
      </c>
      <c r="C26" s="179"/>
      <c r="D26" s="179"/>
      <c r="E26" s="179"/>
      <c r="F26" s="179"/>
      <c r="G26" s="185"/>
      <c r="H26" s="173">
        <v>0</v>
      </c>
      <c r="I26" s="173">
        <v>0</v>
      </c>
      <c r="J26" s="178">
        <v>0</v>
      </c>
      <c r="L26" s="479"/>
      <c r="M26" s="479"/>
      <c r="N26" s="194"/>
      <c r="Q26" s="176" t="str">
        <f>IF(OR(AND(SUM(Table_10_UK!H26)&lt;&gt;0,ISBLANK(Table_10_UK!L26))),"Fail", "Pass")</f>
        <v>Pass</v>
      </c>
      <c r="R26" s="176" t="s">
        <v>1217</v>
      </c>
      <c r="S26" s="143" t="str">
        <f>IF(Q26 = "Fail", R26, "")</f>
        <v/>
      </c>
      <c r="T26" s="176" t="str">
        <f>IF(AND(SUM(H26)=0,NOT(ISBLANK(L26))),"Fail","Pass")</f>
        <v>Pass</v>
      </c>
      <c r="U26" s="143" t="s">
        <v>1218</v>
      </c>
      <c r="V26" s="143" t="str">
        <f>IF(T26 = "Fail", U26, "")</f>
        <v/>
      </c>
      <c r="W26" s="176" t="str">
        <f>IF(OR(AND(SUM(Table_10_UK!I26)&lt;&gt;0,ISBLANK(Table_10_UK!M26))),"Fail", "Pass")</f>
        <v>Pass</v>
      </c>
      <c r="X26" s="176" t="s">
        <v>1219</v>
      </c>
      <c r="Y26" s="143" t="str">
        <f>IF(W26 = "Fail", X26, "")</f>
        <v/>
      </c>
      <c r="Z26" s="176" t="str">
        <f>IF(AND(SUM(I26)=0,NOT(ISBLANK(M26))),"Fail","Pass")</f>
        <v>Pass</v>
      </c>
      <c r="AA26" s="143" t="s">
        <v>1220</v>
      </c>
      <c r="AB26" s="143" t="str">
        <f>IF(Z26 = "Fail", AA26, "")</f>
        <v/>
      </c>
    </row>
    <row r="27" spans="1:28" customFormat="1" ht="12.75" customHeight="1" x14ac:dyDescent="0.25">
      <c r="A27" s="162">
        <v>7</v>
      </c>
      <c r="B27" s="184" t="s">
        <v>652</v>
      </c>
      <c r="C27" s="179"/>
      <c r="D27" s="179"/>
      <c r="E27" s="179"/>
      <c r="F27" s="179"/>
      <c r="G27" s="185"/>
      <c r="H27" s="173">
        <v>0</v>
      </c>
      <c r="I27" s="173">
        <v>0</v>
      </c>
      <c r="J27" s="178">
        <v>0</v>
      </c>
      <c r="L27" s="479"/>
      <c r="M27" s="479"/>
      <c r="N27" s="194"/>
      <c r="Q27" s="176" t="str">
        <f>IF(OR(AND(SUM(Table_10_UK!H27)&lt;&gt;0,ISBLANK(Table_10_UK!L27))),"Fail", "Pass")</f>
        <v>Pass</v>
      </c>
      <c r="R27" s="176" t="s">
        <v>1221</v>
      </c>
      <c r="S27" s="143" t="str">
        <f>IF(Q27 = "Fail", R27, "")</f>
        <v/>
      </c>
      <c r="T27" s="176" t="str">
        <f>IF(AND(SUM(H27)=0,NOT(ISBLANK(L27))),"Fail","Pass")</f>
        <v>Pass</v>
      </c>
      <c r="U27" s="143" t="s">
        <v>1222</v>
      </c>
      <c r="V27" s="143" t="str">
        <f>IF(T27 = "Fail", U27, "")</f>
        <v/>
      </c>
      <c r="W27" s="176" t="str">
        <f>IF(OR(AND(SUM(Table_10_UK!I27)&lt;&gt;0,ISBLANK(Table_10_UK!M27))),"Fail", "Pass")</f>
        <v>Pass</v>
      </c>
      <c r="X27" s="176" t="s">
        <v>1223</v>
      </c>
      <c r="Y27" s="143" t="str">
        <f>IF(W27 = "Fail", X27, "")</f>
        <v/>
      </c>
      <c r="Z27" s="176" t="str">
        <f>IF(AND(SUM(I27)=0,NOT(ISBLANK(M27))),"Fail","Pass")</f>
        <v>Pass</v>
      </c>
      <c r="AA27" s="143" t="s">
        <v>1224</v>
      </c>
      <c r="AB27" s="143" t="str">
        <f>IF(Z27 = "Fail", AA27, "")</f>
        <v/>
      </c>
    </row>
    <row r="28" spans="1:28" customFormat="1" ht="12.75" customHeight="1" x14ac:dyDescent="0.25">
      <c r="A28" s="162"/>
      <c r="B28" s="184"/>
      <c r="C28" s="179"/>
      <c r="D28" s="179"/>
      <c r="E28" s="179"/>
      <c r="F28" s="179"/>
      <c r="G28" s="185"/>
      <c r="H28" s="186"/>
      <c r="I28" s="186"/>
      <c r="J28" s="186"/>
      <c r="L28" s="481"/>
      <c r="M28" s="481"/>
      <c r="N28" s="194"/>
      <c r="O28" s="143"/>
      <c r="R28" s="176"/>
      <c r="W28" s="176"/>
      <c r="X28" s="176"/>
      <c r="Z28" s="176"/>
    </row>
    <row r="29" spans="1:28" customFormat="1" ht="12.75" customHeight="1" x14ac:dyDescent="0.25">
      <c r="A29" s="162">
        <v>8</v>
      </c>
      <c r="B29" s="180" t="s">
        <v>653</v>
      </c>
      <c r="C29" s="181"/>
      <c r="D29" s="181"/>
      <c r="E29" s="181"/>
      <c r="F29" s="181"/>
      <c r="G29" s="182"/>
      <c r="H29" s="183"/>
      <c r="I29" s="183"/>
      <c r="J29" s="183"/>
      <c r="L29" s="475"/>
      <c r="M29" s="475"/>
      <c r="N29" s="194"/>
      <c r="O29" s="143"/>
      <c r="R29" s="176"/>
      <c r="W29" s="176"/>
      <c r="X29" s="176"/>
      <c r="Z29" s="176"/>
    </row>
    <row r="30" spans="1:28" customFormat="1" ht="12.75" customHeight="1" x14ac:dyDescent="0.25">
      <c r="A30" s="162"/>
      <c r="B30" s="191"/>
      <c r="C30" s="192"/>
      <c r="D30" s="192"/>
      <c r="E30" s="192"/>
      <c r="F30" s="192"/>
      <c r="G30" s="193"/>
      <c r="H30" s="186"/>
      <c r="I30" s="186"/>
      <c r="J30" s="186"/>
      <c r="L30" s="475"/>
      <c r="M30" s="475"/>
      <c r="N30" s="194"/>
      <c r="O30" s="143"/>
      <c r="R30" s="176"/>
      <c r="W30" s="176"/>
      <c r="X30" s="176"/>
      <c r="Z30" s="176"/>
    </row>
    <row r="31" spans="1:28" customFormat="1" ht="12.75" customHeight="1" x14ac:dyDescent="0.25">
      <c r="A31" s="162">
        <v>9</v>
      </c>
      <c r="B31" s="164" t="s">
        <v>654</v>
      </c>
      <c r="C31" s="164"/>
      <c r="D31" s="164"/>
      <c r="E31" s="164"/>
      <c r="F31" s="164"/>
      <c r="G31" s="164"/>
      <c r="H31" s="164"/>
      <c r="I31" s="164"/>
      <c r="J31" s="164"/>
      <c r="L31" s="482"/>
      <c r="M31" s="482"/>
      <c r="N31" s="194"/>
      <c r="O31" s="143"/>
      <c r="R31" s="176"/>
      <c r="W31" s="176"/>
      <c r="X31" s="176"/>
      <c r="Z31" s="176"/>
    </row>
    <row r="32" spans="1:28" customFormat="1" ht="12.75" customHeight="1" x14ac:dyDescent="0.25">
      <c r="A32" s="162" t="s">
        <v>655</v>
      </c>
      <c r="B32" s="184" t="s">
        <v>656</v>
      </c>
      <c r="C32" s="179"/>
      <c r="D32" s="179"/>
      <c r="E32" s="179"/>
      <c r="F32" s="179"/>
      <c r="G32" s="185"/>
      <c r="H32" s="173">
        <v>0</v>
      </c>
      <c r="I32" s="173">
        <v>0</v>
      </c>
      <c r="J32" s="178">
        <v>0</v>
      </c>
      <c r="L32" s="479"/>
      <c r="M32" s="479"/>
      <c r="N32" s="194"/>
      <c r="Q32" s="176" t="str">
        <f>IF(OR(AND(SUM(Table_10_UK!H32)&lt;&gt;0,ISBLANK(Table_10_UK!L32))),"Fail", "Pass")</f>
        <v>Pass</v>
      </c>
      <c r="R32" s="176" t="s">
        <v>1225</v>
      </c>
      <c r="S32" s="143" t="str">
        <f>IF(Q32 = "Fail", R32, "")</f>
        <v/>
      </c>
      <c r="T32" s="176" t="str">
        <f>IF(AND(SUM(H32)=0,NOT(ISBLANK(L32))),"Fail","Pass")</f>
        <v>Pass</v>
      </c>
      <c r="U32" s="143" t="s">
        <v>1226</v>
      </c>
      <c r="V32" s="143" t="str">
        <f>IF(T32 = "Fail", U32, "")</f>
        <v/>
      </c>
      <c r="W32" s="176" t="str">
        <f>IF(OR(AND(SUM(Table_10_UK!I32)&lt;&gt;0,ISBLANK(Table_10_UK!M32))),"Fail", "Pass")</f>
        <v>Pass</v>
      </c>
      <c r="X32" s="176" t="s">
        <v>1227</v>
      </c>
      <c r="Y32" s="143" t="str">
        <f>IF(W32 = "Fail", X32, "")</f>
        <v/>
      </c>
      <c r="Z32" s="176" t="str">
        <f>IF(AND(SUM(I32)=0,NOT(ISBLANK(M32))),"Fail","Pass")</f>
        <v>Pass</v>
      </c>
      <c r="AA32" s="143" t="s">
        <v>1228</v>
      </c>
      <c r="AB32" s="143" t="str">
        <f>IF(Z32 = "Fail", AA32, "")</f>
        <v/>
      </c>
    </row>
    <row r="33" spans="1:28" customFormat="1" ht="12.75" customHeight="1" x14ac:dyDescent="0.25">
      <c r="A33" s="162" t="s">
        <v>657</v>
      </c>
      <c r="B33" s="184" t="s">
        <v>658</v>
      </c>
      <c r="C33" s="179"/>
      <c r="D33" s="179"/>
      <c r="E33" s="179"/>
      <c r="F33" s="179"/>
      <c r="G33" s="185"/>
      <c r="H33" s="173">
        <v>0</v>
      </c>
      <c r="I33" s="173">
        <v>0</v>
      </c>
      <c r="J33" s="178">
        <v>0</v>
      </c>
      <c r="L33" s="479"/>
      <c r="M33" s="479"/>
      <c r="N33" s="194"/>
      <c r="Q33" s="176" t="str">
        <f>IF(OR(AND(SUM(Table_10_UK!H33)&lt;&gt;0,ISBLANK(Table_10_UK!L33))),"Fail", "Pass")</f>
        <v>Pass</v>
      </c>
      <c r="R33" s="176" t="s">
        <v>1229</v>
      </c>
      <c r="S33" s="143" t="str">
        <f>IF(Q33 = "Fail", R33, "")</f>
        <v/>
      </c>
      <c r="T33" s="176" t="str">
        <f>IF(AND(SUM(H33)=0,NOT(ISBLANK(L33))),"Fail","Pass")</f>
        <v>Pass</v>
      </c>
      <c r="U33" s="143" t="s">
        <v>1230</v>
      </c>
      <c r="V33" s="143" t="str">
        <f>IF(T33 = "Fail", U33, "")</f>
        <v/>
      </c>
      <c r="W33" s="176" t="str">
        <f>IF(OR(AND(SUM(Table_10_UK!I33)&lt;&gt;0,ISBLANK(Table_10_UK!M33))),"Fail", "Pass")</f>
        <v>Pass</v>
      </c>
      <c r="X33" s="176" t="s">
        <v>1231</v>
      </c>
      <c r="Y33" s="143" t="str">
        <f>IF(W33 = "Fail", X33, "")</f>
        <v/>
      </c>
      <c r="Z33" s="176" t="str">
        <f>IF(AND(SUM(I33)=0,NOT(ISBLANK(M33))),"Fail","Pass")</f>
        <v>Pass</v>
      </c>
      <c r="AA33" s="143" t="s">
        <v>1232</v>
      </c>
      <c r="AB33" s="143" t="str">
        <f>IF(Z33 = "Fail", AA33, "")</f>
        <v/>
      </c>
    </row>
    <row r="34" spans="1:28" customFormat="1" ht="12.75" customHeight="1" x14ac:dyDescent="0.25">
      <c r="A34" s="162" t="s">
        <v>659</v>
      </c>
      <c r="B34" s="180" t="s">
        <v>660</v>
      </c>
      <c r="C34" s="181"/>
      <c r="D34" s="181"/>
      <c r="E34" s="181"/>
      <c r="F34" s="181"/>
      <c r="G34" s="182"/>
      <c r="H34" s="183"/>
      <c r="I34" s="183"/>
      <c r="J34" s="183"/>
      <c r="L34" s="481"/>
      <c r="M34" s="481"/>
      <c r="N34" s="194"/>
      <c r="O34" s="143"/>
      <c r="R34" s="176"/>
      <c r="W34" s="176"/>
      <c r="X34" s="176"/>
      <c r="Z34" s="176"/>
    </row>
    <row r="35" spans="1:28" customFormat="1" ht="12.75" customHeight="1" x14ac:dyDescent="0.25">
      <c r="A35" s="162"/>
      <c r="B35" s="184"/>
      <c r="C35" s="179"/>
      <c r="D35" s="179"/>
      <c r="E35" s="179"/>
      <c r="F35" s="179"/>
      <c r="G35" s="185"/>
      <c r="H35" s="186"/>
      <c r="I35" s="186"/>
      <c r="J35" s="186"/>
      <c r="L35" s="475"/>
      <c r="M35" s="475"/>
      <c r="N35" s="194"/>
      <c r="O35" s="143"/>
      <c r="R35" s="176"/>
      <c r="W35" s="176"/>
      <c r="X35" s="176"/>
      <c r="Z35" s="176"/>
    </row>
    <row r="36" spans="1:28" customFormat="1" ht="12.75" customHeight="1" x14ac:dyDescent="0.25">
      <c r="A36" s="162">
        <v>10</v>
      </c>
      <c r="B36" s="180" t="s">
        <v>661</v>
      </c>
      <c r="C36" s="181"/>
      <c r="D36" s="181"/>
      <c r="E36" s="181"/>
      <c r="F36" s="181"/>
      <c r="G36" s="182"/>
      <c r="H36" s="183"/>
      <c r="I36" s="183"/>
      <c r="J36" s="183"/>
      <c r="L36" s="475"/>
      <c r="M36" s="475"/>
      <c r="N36" s="194"/>
      <c r="R36" s="176"/>
      <c r="W36" s="176"/>
      <c r="X36" s="176"/>
      <c r="Z36" s="176"/>
    </row>
    <row r="37" spans="1:28" customFormat="1" ht="12.75" customHeight="1" x14ac:dyDescent="0.25">
      <c r="A37" s="162"/>
      <c r="B37" s="184"/>
      <c r="C37" s="179"/>
      <c r="D37" s="179"/>
      <c r="E37" s="179"/>
      <c r="F37" s="179"/>
      <c r="G37" s="185"/>
      <c r="H37" s="186"/>
      <c r="I37" s="186"/>
      <c r="J37" s="186"/>
      <c r="L37" s="482"/>
      <c r="M37" s="482"/>
      <c r="N37" s="194"/>
      <c r="O37" s="143"/>
      <c r="R37" s="176"/>
      <c r="W37" s="176"/>
      <c r="X37" s="176"/>
      <c r="Z37" s="176"/>
    </row>
    <row r="38" spans="1:28" customFormat="1" ht="12.75" customHeight="1" x14ac:dyDescent="0.25">
      <c r="A38" s="162">
        <v>11</v>
      </c>
      <c r="B38" s="184" t="s">
        <v>662</v>
      </c>
      <c r="C38" s="179"/>
      <c r="D38" s="179"/>
      <c r="E38" s="179"/>
      <c r="F38" s="179"/>
      <c r="G38" s="185"/>
      <c r="H38" s="173">
        <v>0</v>
      </c>
      <c r="I38" s="173">
        <v>0</v>
      </c>
      <c r="J38" s="178">
        <v>0</v>
      </c>
      <c r="L38" s="479"/>
      <c r="M38" s="479"/>
      <c r="N38" s="194"/>
      <c r="Q38" s="176" t="str">
        <f>IF(OR(AND(SUM(Table_10_UK!H38)&lt;&gt;0,ISBLANK(Table_10_UK!L38))),"Fail", "Pass")</f>
        <v>Pass</v>
      </c>
      <c r="R38" s="176" t="s">
        <v>1233</v>
      </c>
      <c r="S38" s="143" t="str">
        <f>IF(Q38 = "Fail", R38, "")</f>
        <v/>
      </c>
      <c r="T38" s="176" t="str">
        <f>IF(AND(SUM(H38)=0,NOT(ISBLANK(L38))),"Fail","Pass")</f>
        <v>Pass</v>
      </c>
      <c r="U38" s="143" t="s">
        <v>1234</v>
      </c>
      <c r="V38" s="143" t="str">
        <f>IF(T38 = "Fail", U38, "")</f>
        <v/>
      </c>
      <c r="W38" s="176" t="str">
        <f>IF(OR(AND(SUM(Table_10_UK!I38)&lt;&gt;0,ISBLANK(Table_10_UK!M38))),"Fail", "Pass")</f>
        <v>Pass</v>
      </c>
      <c r="X38" s="176" t="s">
        <v>1235</v>
      </c>
      <c r="Y38" s="143" t="str">
        <f>IF(W38 = "Fail", X38, "")</f>
        <v/>
      </c>
      <c r="Z38" s="176" t="str">
        <f>IF(AND(SUM(I38)=0,NOT(ISBLANK(M38))),"Fail","Pass")</f>
        <v>Pass</v>
      </c>
      <c r="AA38" s="143" t="s">
        <v>1236</v>
      </c>
      <c r="AB38" s="143" t="str">
        <f>IF(Z38 = "Fail", AA38, "")</f>
        <v/>
      </c>
    </row>
    <row r="39" spans="1:28" customFormat="1" ht="12.75" customHeight="1" x14ac:dyDescent="0.25">
      <c r="A39" s="162">
        <v>12</v>
      </c>
      <c r="B39" s="184" t="s">
        <v>663</v>
      </c>
      <c r="C39" s="179"/>
      <c r="D39" s="179"/>
      <c r="E39" s="179"/>
      <c r="F39" s="179"/>
      <c r="G39" s="185"/>
      <c r="H39" s="173">
        <v>0</v>
      </c>
      <c r="I39" s="173">
        <v>0</v>
      </c>
      <c r="J39" s="178">
        <v>0</v>
      </c>
      <c r="L39" s="479"/>
      <c r="M39" s="479"/>
      <c r="N39" s="194"/>
      <c r="Q39" s="176" t="str">
        <f>IF(OR(AND(SUM(Table_10_UK!H39)&lt;&gt;0,ISBLANK(Table_10_UK!L39))),"Fail", "Pass")</f>
        <v>Pass</v>
      </c>
      <c r="R39" s="176" t="s">
        <v>1237</v>
      </c>
      <c r="S39" s="143" t="str">
        <f>IF(Q39 = "Fail", R39, "")</f>
        <v/>
      </c>
      <c r="T39" s="176" t="str">
        <f>IF(AND(SUM(H39)=0,NOT(ISBLANK(L39))),"Fail","Pass")</f>
        <v>Pass</v>
      </c>
      <c r="U39" s="143" t="s">
        <v>1238</v>
      </c>
      <c r="V39" s="143" t="str">
        <f>IF(T39 = "Fail", U39, "")</f>
        <v/>
      </c>
      <c r="W39" s="176" t="str">
        <f>IF(OR(AND(SUM(Table_10_UK!I39)&lt;&gt;0,ISBLANK(Table_10_UK!M39))),"Fail", "Pass")</f>
        <v>Pass</v>
      </c>
      <c r="X39" s="176" t="s">
        <v>1239</v>
      </c>
      <c r="Y39" s="143" t="str">
        <f>IF(W39 = "Fail", X39, "")</f>
        <v/>
      </c>
      <c r="Z39" s="176" t="str">
        <f>IF(AND(SUM(I39)=0,NOT(ISBLANK(M39))),"Fail","Pass")</f>
        <v>Pass</v>
      </c>
      <c r="AA39" s="143" t="s">
        <v>1240</v>
      </c>
      <c r="AB39" s="143" t="str">
        <f>IF(Z39 = "Fail", AA39, "")</f>
        <v/>
      </c>
    </row>
    <row r="40" spans="1:28" customFormat="1" ht="12.75" customHeight="1" x14ac:dyDescent="0.25">
      <c r="A40" s="162">
        <v>13</v>
      </c>
      <c r="B40" s="184" t="s">
        <v>1241</v>
      </c>
      <c r="C40" s="179"/>
      <c r="D40" s="179"/>
      <c r="E40" s="179"/>
      <c r="F40" s="179"/>
      <c r="G40" s="185"/>
      <c r="H40" s="173">
        <v>0</v>
      </c>
      <c r="I40" s="173">
        <v>0</v>
      </c>
      <c r="J40" s="178">
        <v>0</v>
      </c>
      <c r="L40" s="479"/>
      <c r="M40" s="479"/>
      <c r="N40" s="194"/>
      <c r="Q40" s="176" t="str">
        <f>IF(OR(AND(SUM(Table_10_UK!H40)&lt;&gt;0,ISBLANK(Table_10_UK!L40))),"Fail", "Pass")</f>
        <v>Pass</v>
      </c>
      <c r="R40" s="176" t="s">
        <v>1242</v>
      </c>
      <c r="S40" s="143" t="str">
        <f>IF(Q40 = "Fail", R40, "")</f>
        <v/>
      </c>
      <c r="T40" s="176" t="str">
        <f>IF(AND(SUM(H40)=0,NOT(ISBLANK(L40))),"Fail","Pass")</f>
        <v>Pass</v>
      </c>
      <c r="U40" s="143" t="s">
        <v>1243</v>
      </c>
      <c r="V40" s="143" t="str">
        <f>IF(T40 = "Fail", U40, "")</f>
        <v/>
      </c>
      <c r="W40" s="176" t="str">
        <f>IF(OR(AND(SUM(Table_10_UK!I40)&lt;&gt;0,ISBLANK(Table_10_UK!M40))),"Fail", "Pass")</f>
        <v>Pass</v>
      </c>
      <c r="X40" s="176" t="s">
        <v>1244</v>
      </c>
      <c r="Y40" s="143" t="str">
        <f>IF(W40 = "Fail", X40, "")</f>
        <v/>
      </c>
      <c r="Z40" s="176" t="str">
        <f>IF(AND(SUM(I40)=0,NOT(ISBLANK(M40))),"Fail","Pass")</f>
        <v>Pass</v>
      </c>
      <c r="AA40" s="143" t="s">
        <v>1245</v>
      </c>
      <c r="AB40" s="143" t="str">
        <f>IF(Z40 = "Fail", AA40, "")</f>
        <v/>
      </c>
    </row>
    <row r="41" spans="1:28" customFormat="1" ht="12.75" customHeight="1" x14ac:dyDescent="0.25">
      <c r="A41" s="162">
        <v>14</v>
      </c>
      <c r="B41" s="184" t="s">
        <v>666</v>
      </c>
      <c r="C41" s="179"/>
      <c r="D41" s="179"/>
      <c r="E41" s="179"/>
      <c r="F41" s="179"/>
      <c r="G41" s="185"/>
      <c r="H41" s="173">
        <v>0</v>
      </c>
      <c r="I41" s="173">
        <v>0</v>
      </c>
      <c r="J41" s="178">
        <v>0</v>
      </c>
      <c r="L41" s="479"/>
      <c r="M41" s="479"/>
      <c r="N41" s="194"/>
      <c r="Q41" s="176" t="str">
        <f>IF(OR(AND(SUM(Table_10_UK!H41)&lt;&gt;0,ISBLANK(Table_10_UK!L41))),"Fail", "Pass")</f>
        <v>Pass</v>
      </c>
      <c r="R41" s="176" t="s">
        <v>1246</v>
      </c>
      <c r="S41" s="143" t="str">
        <f>IF(Q41 = "Fail", R41, "")</f>
        <v/>
      </c>
      <c r="T41" s="176" t="str">
        <f>IF(AND(SUM(H41)=0,NOT(ISBLANK(L41))),"Fail","Pass")</f>
        <v>Pass</v>
      </c>
      <c r="U41" s="143" t="s">
        <v>1247</v>
      </c>
      <c r="V41" s="143" t="str">
        <f>IF(T41 = "Fail", U41, "")</f>
        <v/>
      </c>
      <c r="W41" s="176" t="str">
        <f>IF(OR(AND(SUM(Table_10_UK!I41)&lt;&gt;0,ISBLANK(Table_10_UK!M41))),"Fail", "Pass")</f>
        <v>Pass</v>
      </c>
      <c r="X41" s="176" t="s">
        <v>1248</v>
      </c>
      <c r="Y41" s="143" t="str">
        <f>IF(W41 = "Fail", X41, "")</f>
        <v/>
      </c>
      <c r="Z41" s="176" t="str">
        <f>IF(AND(SUM(I41)=0,NOT(ISBLANK(M41))),"Fail","Pass")</f>
        <v>Pass</v>
      </c>
      <c r="AA41" s="143" t="s">
        <v>1249</v>
      </c>
      <c r="AB41" s="143" t="str">
        <f>IF(Z41 = "Fail", AA41, "")</f>
        <v/>
      </c>
    </row>
    <row r="42" spans="1:28" customFormat="1" ht="12.75" customHeight="1" x14ac:dyDescent="0.25">
      <c r="A42" s="162"/>
      <c r="B42" s="184"/>
      <c r="C42" s="179"/>
      <c r="D42" s="179"/>
      <c r="E42" s="179"/>
      <c r="F42" s="179"/>
      <c r="G42" s="185"/>
      <c r="H42" s="186"/>
      <c r="I42" s="186"/>
      <c r="J42" s="186"/>
      <c r="L42" s="481"/>
      <c r="M42" s="481"/>
      <c r="N42" s="194"/>
      <c r="O42" s="143"/>
      <c r="R42" s="176"/>
      <c r="W42" s="176"/>
      <c r="X42" s="176"/>
      <c r="Z42" s="176"/>
    </row>
    <row r="43" spans="1:28" customFormat="1" ht="12.75" customHeight="1" x14ac:dyDescent="0.25">
      <c r="A43" s="162">
        <v>15</v>
      </c>
      <c r="B43" s="180" t="s">
        <v>667</v>
      </c>
      <c r="C43" s="181"/>
      <c r="D43" s="181"/>
      <c r="E43" s="181"/>
      <c r="F43" s="181"/>
      <c r="G43" s="182"/>
      <c r="H43" s="183"/>
      <c r="I43" s="183"/>
      <c r="J43" s="183"/>
      <c r="L43" s="475"/>
      <c r="M43" s="475"/>
      <c r="N43" s="194"/>
      <c r="R43" s="176"/>
      <c r="W43" s="176"/>
      <c r="X43" s="176"/>
      <c r="Z43" s="176"/>
    </row>
    <row r="44" spans="1:28" customFormat="1" ht="12.75" customHeight="1" x14ac:dyDescent="0.25">
      <c r="A44" s="162"/>
      <c r="B44" s="184"/>
      <c r="C44" s="179"/>
      <c r="D44" s="179"/>
      <c r="E44" s="179"/>
      <c r="F44" s="179"/>
      <c r="G44" s="185"/>
      <c r="H44" s="186"/>
      <c r="I44" s="186"/>
      <c r="J44" s="186"/>
      <c r="L44" s="475"/>
      <c r="M44" s="475"/>
      <c r="N44" s="194"/>
      <c r="R44" s="176"/>
      <c r="W44" s="176"/>
      <c r="X44" s="176"/>
      <c r="Z44" s="176"/>
    </row>
    <row r="45" spans="1:28" customFormat="1" ht="12.75" customHeight="1" x14ac:dyDescent="0.25">
      <c r="A45" s="162">
        <v>16</v>
      </c>
      <c r="B45" s="163" t="s">
        <v>668</v>
      </c>
      <c r="C45" s="164"/>
      <c r="D45" s="164"/>
      <c r="E45" s="164"/>
      <c r="F45" s="164"/>
      <c r="G45" s="165"/>
      <c r="H45" s="187"/>
      <c r="I45" s="187"/>
      <c r="J45" s="187"/>
      <c r="L45" s="482"/>
      <c r="M45" s="482"/>
      <c r="N45" s="194"/>
      <c r="O45" s="143"/>
      <c r="R45" s="176"/>
      <c r="W45" s="176"/>
      <c r="X45" s="176"/>
      <c r="Z45" s="176"/>
    </row>
    <row r="46" spans="1:28" customFormat="1" ht="12.75" customHeight="1" x14ac:dyDescent="0.25">
      <c r="A46" s="162" t="s">
        <v>669</v>
      </c>
      <c r="B46" s="184"/>
      <c r="C46" s="179"/>
      <c r="D46" s="179" t="s">
        <v>670</v>
      </c>
      <c r="E46" s="179"/>
      <c r="F46" s="179"/>
      <c r="G46" s="185"/>
      <c r="H46" s="173">
        <v>0</v>
      </c>
      <c r="I46" s="173">
        <v>0</v>
      </c>
      <c r="J46" s="178">
        <v>0</v>
      </c>
      <c r="L46" s="479"/>
      <c r="M46" s="479"/>
      <c r="N46" s="194"/>
      <c r="Q46" s="176" t="str">
        <f>IF(OR(AND(SUM(Table_10_UK!H46)&lt;&gt;0,ISBLANK(Table_10_UK!L46))),"Fail", "Pass")</f>
        <v>Pass</v>
      </c>
      <c r="R46" s="176" t="s">
        <v>1250</v>
      </c>
      <c r="S46" s="143" t="str">
        <f>IF(Q46 = "Fail", R46, "")</f>
        <v/>
      </c>
      <c r="T46" s="176" t="str">
        <f>IF(AND(SUM(H46)=0,NOT(ISBLANK(L46))),"Fail","Pass")</f>
        <v>Pass</v>
      </c>
      <c r="U46" s="143" t="s">
        <v>1251</v>
      </c>
      <c r="V46" s="143" t="str">
        <f>IF(T46 = "Fail", U46, "")</f>
        <v/>
      </c>
      <c r="W46" s="176" t="str">
        <f>IF(OR(AND(SUM(Table_10_UK!I46)&lt;&gt;0,ISBLANK(Table_10_UK!M46))),"Fail", "Pass")</f>
        <v>Pass</v>
      </c>
      <c r="X46" s="176" t="s">
        <v>1252</v>
      </c>
      <c r="Y46" s="143" t="str">
        <f>IF(W46 = "Fail", X46, "")</f>
        <v/>
      </c>
      <c r="Z46" s="176" t="str">
        <f>IF(AND(SUM(I46)=0,NOT(ISBLANK(M46))),"Fail","Pass")</f>
        <v>Pass</v>
      </c>
      <c r="AA46" s="143" t="s">
        <v>1253</v>
      </c>
      <c r="AB46" s="143" t="str">
        <f>IF(Z46 = "Fail", AA46, "")</f>
        <v/>
      </c>
    </row>
    <row r="47" spans="1:28" customFormat="1" ht="12.75" customHeight="1" x14ac:dyDescent="0.25">
      <c r="A47" s="162" t="s">
        <v>671</v>
      </c>
      <c r="B47" s="184"/>
      <c r="C47" s="179"/>
      <c r="D47" s="179" t="s">
        <v>672</v>
      </c>
      <c r="E47" s="179"/>
      <c r="F47" s="179"/>
      <c r="G47" s="185"/>
      <c r="H47" s="173">
        <v>0</v>
      </c>
      <c r="I47" s="173">
        <v>0</v>
      </c>
      <c r="J47" s="178">
        <v>0</v>
      </c>
      <c r="L47" s="479"/>
      <c r="M47" s="479"/>
      <c r="N47" s="194"/>
      <c r="Q47" s="176" t="str">
        <f>IF(OR(AND(SUM(Table_10_UK!H47)&lt;&gt;0,ISBLANK(Table_10_UK!L47))),"Fail", "Pass")</f>
        <v>Pass</v>
      </c>
      <c r="R47" s="176" t="s">
        <v>1254</v>
      </c>
      <c r="S47" s="143" t="str">
        <f>IF(Q47 = "Fail", R47, "")</f>
        <v/>
      </c>
      <c r="T47" s="176" t="str">
        <f>IF(AND(SUM(H47)=0,NOT(ISBLANK(L47))),"Fail","Pass")</f>
        <v>Pass</v>
      </c>
      <c r="U47" s="143" t="s">
        <v>1255</v>
      </c>
      <c r="V47" s="143" t="str">
        <f>IF(T47 = "Fail", U47, "")</f>
        <v/>
      </c>
      <c r="W47" s="176" t="str">
        <f>IF(OR(AND(SUM(Table_10_UK!I47)&lt;&gt;0,ISBLANK(Table_10_UK!M47))),"Fail", "Pass")</f>
        <v>Pass</v>
      </c>
      <c r="X47" s="176" t="s">
        <v>1256</v>
      </c>
      <c r="Y47" s="143" t="str">
        <f>IF(W47 = "Fail", X47, "")</f>
        <v/>
      </c>
      <c r="Z47" s="176" t="str">
        <f>IF(AND(SUM(I47)=0,NOT(ISBLANK(M47))),"Fail","Pass")</f>
        <v>Pass</v>
      </c>
      <c r="AA47" s="143" t="s">
        <v>1257</v>
      </c>
      <c r="AB47" s="143" t="str">
        <f>IF(Z47 = "Fail", AA47, "")</f>
        <v/>
      </c>
    </row>
    <row r="48" spans="1:28" customFormat="1" ht="12.75" customHeight="1" x14ac:dyDescent="0.25">
      <c r="A48" s="162" t="s">
        <v>673</v>
      </c>
      <c r="B48" s="184"/>
      <c r="C48" s="179"/>
      <c r="D48" s="179" t="s">
        <v>674</v>
      </c>
      <c r="E48" s="179"/>
      <c r="F48" s="179"/>
      <c r="G48" s="185"/>
      <c r="H48" s="173">
        <v>0</v>
      </c>
      <c r="I48" s="173">
        <v>0</v>
      </c>
      <c r="J48" s="178">
        <v>0</v>
      </c>
      <c r="L48" s="479"/>
      <c r="M48" s="479"/>
      <c r="N48" s="194"/>
      <c r="Q48" s="176" t="str">
        <f>IF(OR(AND(SUM(Table_10_UK!H48)&lt;&gt;0,ISBLANK(Table_10_UK!L48))),"Fail", "Pass")</f>
        <v>Pass</v>
      </c>
      <c r="R48" s="176" t="s">
        <v>1258</v>
      </c>
      <c r="S48" s="143" t="str">
        <f>IF(Q48 = "Fail", R48, "")</f>
        <v/>
      </c>
      <c r="T48" s="176" t="str">
        <f>IF(AND(SUM(H48)=0,NOT(ISBLANK(L48))),"Fail","Pass")</f>
        <v>Pass</v>
      </c>
      <c r="U48" s="143" t="s">
        <v>1259</v>
      </c>
      <c r="V48" s="143" t="str">
        <f>IF(T48 = "Fail", U48, "")</f>
        <v/>
      </c>
      <c r="W48" s="176" t="str">
        <f>IF(OR(AND(SUM(Table_10_UK!I48)&lt;&gt;0,ISBLANK(Table_10_UK!M48))),"Fail", "Pass")</f>
        <v>Pass</v>
      </c>
      <c r="X48" s="176" t="s">
        <v>1260</v>
      </c>
      <c r="Y48" s="143" t="str">
        <f>IF(W48 = "Fail", X48, "")</f>
        <v/>
      </c>
      <c r="Z48" s="176" t="str">
        <f>IF(AND(SUM(I48)=0,NOT(ISBLANK(M48))),"Fail","Pass")</f>
        <v>Pass</v>
      </c>
      <c r="AA48" s="143" t="s">
        <v>1261</v>
      </c>
      <c r="AB48" s="143" t="str">
        <f>IF(Z48 = "Fail", AA48, "")</f>
        <v/>
      </c>
    </row>
    <row r="49" spans="1:28" customFormat="1" ht="12.75" customHeight="1" x14ac:dyDescent="0.25">
      <c r="A49" s="162" t="s">
        <v>675</v>
      </c>
      <c r="B49" s="184"/>
      <c r="C49" s="179"/>
      <c r="D49" s="179" t="s">
        <v>1262</v>
      </c>
      <c r="E49" s="179"/>
      <c r="F49" s="179"/>
      <c r="G49" s="185"/>
      <c r="H49" s="173">
        <v>0</v>
      </c>
      <c r="I49" s="173">
        <v>0</v>
      </c>
      <c r="J49" s="178">
        <v>0</v>
      </c>
      <c r="L49" s="479"/>
      <c r="M49" s="479"/>
      <c r="N49" s="194"/>
      <c r="Q49" s="176" t="str">
        <f>IF(OR(AND(SUM(Table_10_UK!H49)&lt;&gt;0,ISBLANK(Table_10_UK!L49))),"Fail", "Pass")</f>
        <v>Pass</v>
      </c>
      <c r="R49" s="176" t="s">
        <v>1263</v>
      </c>
      <c r="S49" s="143" t="str">
        <f>IF(Q49 = "Fail", R49, "")</f>
        <v/>
      </c>
      <c r="T49" s="176" t="str">
        <f>IF(AND(SUM(H49)=0,NOT(ISBLANK(L49))),"Fail","Pass")</f>
        <v>Pass</v>
      </c>
      <c r="U49" s="143" t="s">
        <v>1264</v>
      </c>
      <c r="V49" s="143" t="str">
        <f>IF(T49 = "Fail", U49, "")</f>
        <v/>
      </c>
      <c r="W49" s="176" t="str">
        <f>IF(OR(AND(SUM(Table_10_UK!I49)&lt;&gt;0,ISBLANK(Table_10_UK!M49))),"Fail", "Pass")</f>
        <v>Pass</v>
      </c>
      <c r="X49" s="176" t="s">
        <v>1265</v>
      </c>
      <c r="Y49" s="143" t="str">
        <f>IF(W49 = "Fail", X49, "")</f>
        <v/>
      </c>
      <c r="Z49" s="176" t="str">
        <f>IF(AND(SUM(I49)=0,NOT(ISBLANK(M49))),"Fail","Pass")</f>
        <v>Pass</v>
      </c>
      <c r="AA49" s="143" t="s">
        <v>1266</v>
      </c>
      <c r="AB49" s="143" t="str">
        <f>IF(Z49 = "Fail", AA49, "")</f>
        <v/>
      </c>
    </row>
    <row r="50" spans="1:28" customFormat="1" ht="12.75" customHeight="1" x14ac:dyDescent="0.25">
      <c r="A50" s="162" t="s">
        <v>677</v>
      </c>
      <c r="B50" s="184"/>
      <c r="C50" s="143"/>
      <c r="D50" s="179" t="s">
        <v>678</v>
      </c>
      <c r="E50" s="179"/>
      <c r="F50" s="179"/>
      <c r="G50" s="185"/>
      <c r="H50" s="196"/>
      <c r="I50" s="196"/>
      <c r="J50" s="196"/>
      <c r="L50" s="481"/>
      <c r="M50" s="481"/>
      <c r="N50" s="194"/>
      <c r="O50" s="143"/>
      <c r="R50" s="176"/>
      <c r="W50" s="176"/>
      <c r="X50" s="176"/>
      <c r="Z50" s="176"/>
    </row>
    <row r="51" spans="1:28" customFormat="1" ht="12.75" customHeight="1" x14ac:dyDescent="0.25">
      <c r="A51" s="162" t="s">
        <v>679</v>
      </c>
      <c r="B51" s="184"/>
      <c r="C51" s="14"/>
      <c r="D51" s="179" t="s">
        <v>680</v>
      </c>
      <c r="E51" s="179"/>
      <c r="F51" s="179"/>
      <c r="G51" s="185"/>
      <c r="H51" s="173">
        <v>0</v>
      </c>
      <c r="I51" s="173">
        <v>0</v>
      </c>
      <c r="J51" s="178">
        <v>0</v>
      </c>
      <c r="K51" s="143"/>
      <c r="L51" s="479"/>
      <c r="M51" s="479"/>
      <c r="N51" s="194"/>
      <c r="O51" s="143"/>
      <c r="Q51" s="176" t="str">
        <f>IF(OR(AND(SUM(Table_10_UK!H51)&lt;&gt;0,ISBLANK(Table_10_UK!L51))),"Fail", "Pass")</f>
        <v>Pass</v>
      </c>
      <c r="R51" s="176" t="s">
        <v>1267</v>
      </c>
      <c r="S51" s="143" t="str">
        <f>IF(Q51 = "Fail", R51, "")</f>
        <v/>
      </c>
      <c r="T51" s="176" t="str">
        <f>IF(AND(SUM(H51)=0,NOT(ISBLANK(L51))),"Fail","Pass")</f>
        <v>Pass</v>
      </c>
      <c r="U51" s="143" t="s">
        <v>1268</v>
      </c>
      <c r="V51" s="143" t="str">
        <f>IF(T51 = "Fail", U51, "")</f>
        <v/>
      </c>
      <c r="W51" s="176" t="str">
        <f>IF(OR(AND(SUM(Table_10_UK!I51)&lt;&gt;0,ISBLANK(Table_10_UK!M51))),"Fail", "Pass")</f>
        <v>Pass</v>
      </c>
      <c r="X51" s="176" t="s">
        <v>1269</v>
      </c>
      <c r="Y51" s="143" t="str">
        <f>IF(W51 = "Fail", X51, "")</f>
        <v/>
      </c>
      <c r="Z51" s="176" t="str">
        <f>IF(AND(SUM(I51)=0,NOT(ISBLANK(M51))),"Fail","Pass")</f>
        <v>Pass</v>
      </c>
      <c r="AA51" s="143" t="s">
        <v>1270</v>
      </c>
      <c r="AB51" s="143" t="str">
        <f>IF(Z51 = "Fail", AA51, "")</f>
        <v/>
      </c>
    </row>
    <row r="52" spans="1:28" customFormat="1" ht="12.75" customHeight="1" x14ac:dyDescent="0.25">
      <c r="A52" s="162" t="s">
        <v>681</v>
      </c>
      <c r="B52" s="181"/>
      <c r="C52" s="181" t="s">
        <v>682</v>
      </c>
      <c r="D52" s="181"/>
      <c r="E52" s="181"/>
      <c r="F52" s="181"/>
      <c r="G52" s="181"/>
      <c r="H52" s="483"/>
      <c r="I52" s="283"/>
      <c r="J52" s="197"/>
      <c r="L52" s="475"/>
      <c r="M52" s="475"/>
      <c r="N52" s="194"/>
      <c r="O52" s="143"/>
      <c r="R52" s="176"/>
      <c r="W52" s="176"/>
      <c r="X52" s="176"/>
      <c r="Z52" s="176"/>
    </row>
    <row r="53" spans="1:28" x14ac:dyDescent="0.2">
      <c r="A53" s="162"/>
      <c r="B53" s="184"/>
      <c r="C53" s="179"/>
      <c r="D53" s="179"/>
      <c r="E53" s="179"/>
      <c r="F53" s="179"/>
      <c r="G53" s="185"/>
      <c r="H53" s="195"/>
      <c r="I53" s="195"/>
      <c r="J53" s="195"/>
      <c r="L53" s="475"/>
      <c r="M53" s="475"/>
      <c r="R53" s="176"/>
      <c r="W53" s="176"/>
      <c r="X53" s="176"/>
      <c r="Z53" s="176"/>
    </row>
    <row r="54" spans="1:28" x14ac:dyDescent="0.2">
      <c r="A54" s="162">
        <v>17</v>
      </c>
      <c r="B54" s="163" t="s">
        <v>1271</v>
      </c>
      <c r="C54" s="164"/>
      <c r="D54" s="164"/>
      <c r="E54" s="164"/>
      <c r="F54" s="164"/>
      <c r="G54" s="165"/>
      <c r="H54" s="187"/>
      <c r="I54" s="187"/>
      <c r="J54" s="187"/>
      <c r="L54" s="475"/>
      <c r="M54" s="475"/>
      <c r="R54" s="176"/>
      <c r="W54" s="176"/>
      <c r="X54" s="176"/>
      <c r="Z54" s="176"/>
    </row>
    <row r="55" spans="1:28" x14ac:dyDescent="0.2">
      <c r="A55" s="162" t="s">
        <v>684</v>
      </c>
      <c r="B55" s="184"/>
      <c r="C55" s="179" t="s">
        <v>685</v>
      </c>
      <c r="D55" s="179"/>
      <c r="E55" s="179"/>
      <c r="F55" s="179"/>
      <c r="G55" s="185"/>
      <c r="H55" s="173">
        <v>0</v>
      </c>
      <c r="I55" s="173">
        <v>0</v>
      </c>
      <c r="J55" s="178">
        <v>0</v>
      </c>
      <c r="L55" s="479"/>
      <c r="M55" s="479"/>
      <c r="Q55" s="176" t="str">
        <f>IF(OR(AND(SUM(Table_10_UK!H55)&lt;&gt;0,ISBLANK(Table_10_UK!L55))),"Fail", "Pass")</f>
        <v>Pass</v>
      </c>
      <c r="R55" s="176" t="s">
        <v>1272</v>
      </c>
      <c r="S55" s="143" t="str">
        <f>IF(Q55 = "Fail", R55, "")</f>
        <v/>
      </c>
      <c r="T55" s="176" t="str">
        <f>IF(AND(SUM(H55)=0,NOT(ISBLANK(L55))),"Fail","Pass")</f>
        <v>Pass</v>
      </c>
      <c r="U55" s="143" t="s">
        <v>1273</v>
      </c>
      <c r="V55" s="143" t="str">
        <f>IF(T55 = "Fail", U55, "")</f>
        <v/>
      </c>
      <c r="W55" s="176" t="str">
        <f>IF(OR(AND(SUM(Table_10_UK!I55)&lt;&gt;0,ISBLANK(Table_10_UK!M55))),"Fail", "Pass")</f>
        <v>Pass</v>
      </c>
      <c r="X55" s="176" t="s">
        <v>1274</v>
      </c>
      <c r="Y55" s="143" t="str">
        <f>IF(W55 = "Fail", X55, "")</f>
        <v/>
      </c>
      <c r="Z55" s="176" t="str">
        <f>IF(AND(SUM(I55)=0,NOT(ISBLANK(M55))),"Fail","Pass")</f>
        <v>Pass</v>
      </c>
      <c r="AA55" s="143" t="s">
        <v>1275</v>
      </c>
      <c r="AB55" s="143" t="str">
        <f>IF(Z55 = "Fail", AA55, "")</f>
        <v/>
      </c>
    </row>
    <row r="56" spans="1:28" x14ac:dyDescent="0.2">
      <c r="A56" s="162" t="s">
        <v>686</v>
      </c>
      <c r="B56" s="484"/>
      <c r="C56" s="179" t="s">
        <v>687</v>
      </c>
      <c r="D56" s="179"/>
      <c r="E56" s="179"/>
      <c r="F56" s="179"/>
      <c r="G56" s="185"/>
      <c r="H56" s="173">
        <v>0</v>
      </c>
      <c r="I56" s="173">
        <v>0</v>
      </c>
      <c r="J56" s="178">
        <v>0</v>
      </c>
      <c r="L56" s="479"/>
      <c r="M56" s="479"/>
      <c r="Q56" s="176" t="str">
        <f>IF(OR(AND(SUM(Table_10_UK!H56)&lt;&gt;0,ISBLANK(Table_10_UK!L56))),"Fail", "Pass")</f>
        <v>Pass</v>
      </c>
      <c r="R56" s="176" t="s">
        <v>1276</v>
      </c>
      <c r="S56" s="143" t="str">
        <f>IF(Q56 = "Fail", R56, "")</f>
        <v/>
      </c>
      <c r="T56" s="176" t="str">
        <f>IF(AND(SUM(H56)=0,NOT(ISBLANK(L56))),"Fail","Pass")</f>
        <v>Pass</v>
      </c>
      <c r="U56" s="143" t="s">
        <v>1277</v>
      </c>
      <c r="V56" s="143" t="str">
        <f>IF(T56 = "Fail", U56, "")</f>
        <v/>
      </c>
      <c r="W56" s="176" t="str">
        <f>IF(OR(AND(SUM(Table_10_UK!I56)&lt;&gt;0,ISBLANK(Table_10_UK!M56))),"Fail", "Pass")</f>
        <v>Pass</v>
      </c>
      <c r="X56" s="176" t="s">
        <v>1278</v>
      </c>
      <c r="Y56" s="143" t="str">
        <f>IF(W56 = "Fail", X56, "")</f>
        <v/>
      </c>
      <c r="Z56" s="176" t="str">
        <f>IF(AND(SUM(I56)=0,NOT(ISBLANK(M56))),"Fail","Pass")</f>
        <v>Pass</v>
      </c>
      <c r="AA56" s="143" t="s">
        <v>1279</v>
      </c>
      <c r="AB56" s="143" t="str">
        <f>IF(Z56 = "Fail", AA56, "")</f>
        <v/>
      </c>
    </row>
    <row r="58" spans="1:28" x14ac:dyDescent="0.2">
      <c r="B58" s="143" t="s">
        <v>688</v>
      </c>
    </row>
  </sheetData>
  <sheetProtection algorithmName="SHA-512" hashValue="ZXQfvo6NKEMIyVv0+p2zh7zf3XYVhHhLRFm+k97LqOlKh48o7EptorzkxRh/0LqbbtoyZZg4JhKJpwiPRos33Q==" saltValue="S5D35KfVQ4ZRhOmVhbwUlA==" spinCount="100000" sheet="1" objects="1" scenarios="1"/>
  <mergeCells count="9">
    <mergeCell ref="B1:G1"/>
    <mergeCell ref="B22:G22"/>
    <mergeCell ref="L2:M2"/>
    <mergeCell ref="X3:Y3"/>
    <mergeCell ref="AA3:AB3"/>
    <mergeCell ref="R3:S3"/>
    <mergeCell ref="U3:V3"/>
    <mergeCell ref="I1:I2"/>
    <mergeCell ref="J1:J2"/>
  </mergeCells>
  <conditionalFormatting sqref="Z52:Z56">
    <cfRule type="cellIs" dxfId="47" priority="1" operator="equal">
      <formula>"Fail"</formula>
    </cfRule>
  </conditionalFormatting>
  <conditionalFormatting sqref="W52:W56">
    <cfRule type="cellIs" dxfId="46" priority="2" operator="equal">
      <formula>"Fail"</formula>
    </cfRule>
  </conditionalFormatting>
  <conditionalFormatting sqref="T52:T56">
    <cfRule type="cellIs" dxfId="45" priority="3" operator="equal">
      <formula>"Fail"</formula>
    </cfRule>
  </conditionalFormatting>
  <conditionalFormatting sqref="Q52:Q56">
    <cfRule type="cellIs" dxfId="44" priority="4" operator="equal">
      <formula>"Fail"</formula>
    </cfRule>
  </conditionalFormatting>
  <conditionalFormatting sqref="Q6:Q40">
    <cfRule type="cellIs" dxfId="43" priority="5" operator="equal">
      <formula>"Fail"</formula>
    </cfRule>
  </conditionalFormatting>
  <conditionalFormatting sqref="T6:T40">
    <cfRule type="cellIs" dxfId="42" priority="6" operator="equal">
      <formula>"Fail"</formula>
    </cfRule>
  </conditionalFormatting>
  <conditionalFormatting sqref="W6:W40">
    <cfRule type="cellIs" dxfId="41" priority="7" operator="equal">
      <formula>"Fail"</formula>
    </cfRule>
  </conditionalFormatting>
  <conditionalFormatting sqref="Z6:Z40">
    <cfRule type="cellIs" dxfId="40" priority="8" operator="equal">
      <formula>"Fail"</formula>
    </cfRule>
  </conditionalFormatting>
  <conditionalFormatting sqref="Z42:Z50">
    <cfRule type="cellIs" dxfId="39" priority="9" operator="equal">
      <formula>"Fail"</formula>
    </cfRule>
  </conditionalFormatting>
  <conditionalFormatting sqref="W42:W50">
    <cfRule type="cellIs" dxfId="38" priority="10" operator="equal">
      <formula>"Fail"</formula>
    </cfRule>
  </conditionalFormatting>
  <conditionalFormatting sqref="T42:T50">
    <cfRule type="cellIs" dxfId="37" priority="11" operator="equal">
      <formula>"Fail"</formula>
    </cfRule>
  </conditionalFormatting>
  <conditionalFormatting sqref="Q42:Q50">
    <cfRule type="cellIs" dxfId="36" priority="12" operator="equal">
      <formula>"Fail"</formula>
    </cfRule>
  </conditionalFormatting>
  <conditionalFormatting sqref="Z51">
    <cfRule type="cellIs" dxfId="35" priority="13" operator="equal">
      <formula>"Fail"</formula>
    </cfRule>
  </conditionalFormatting>
  <conditionalFormatting sqref="W51">
    <cfRule type="cellIs" dxfId="34" priority="14" operator="equal">
      <formula>"Fail"</formula>
    </cfRule>
  </conditionalFormatting>
  <conditionalFormatting sqref="T51">
    <cfRule type="cellIs" dxfId="33" priority="15" operator="equal">
      <formula>"Fail"</formula>
    </cfRule>
  </conditionalFormatting>
  <conditionalFormatting sqref="Q51">
    <cfRule type="cellIs" dxfId="32" priority="16" operator="equal">
      <formula>"Fail"</formula>
    </cfRule>
  </conditionalFormatting>
  <conditionalFormatting sqref="Q41">
    <cfRule type="cellIs" dxfId="31" priority="17" operator="equal">
      <formula>"Fail"</formula>
    </cfRule>
  </conditionalFormatting>
  <conditionalFormatting sqref="T41">
    <cfRule type="cellIs" dxfId="30" priority="18" operator="equal">
      <formula>"Fail"</formula>
    </cfRule>
  </conditionalFormatting>
  <conditionalFormatting sqref="W41">
    <cfRule type="cellIs" dxfId="29" priority="19" operator="equal">
      <formula>"Fail"</formula>
    </cfRule>
  </conditionalFormatting>
  <conditionalFormatting sqref="Z41">
    <cfRule type="cellIs" dxfId="28" priority="20" operator="equal">
      <formula>"Fail"</formula>
    </cfRule>
  </conditionalFormatting>
  <conditionalFormatting sqref="I6">
    <cfRule type="expression" dxfId="27" priority="21">
      <formula>I6&lt;&gt;J6</formula>
    </cfRule>
  </conditionalFormatting>
  <conditionalFormatting sqref="I7">
    <cfRule type="expression" dxfId="26" priority="22">
      <formula>I7&lt;&gt;J7</formula>
    </cfRule>
  </conditionalFormatting>
  <conditionalFormatting sqref="I8">
    <cfRule type="expression" dxfId="25" priority="23">
      <formula>I8&lt;&gt;J8</formula>
    </cfRule>
  </conditionalFormatting>
  <conditionalFormatting sqref="I9">
    <cfRule type="expression" dxfId="24" priority="24">
      <formula>I9&lt;&gt;J9</formula>
    </cfRule>
  </conditionalFormatting>
  <conditionalFormatting sqref="I10">
    <cfRule type="expression" dxfId="23" priority="25">
      <formula>I10&lt;&gt;J10</formula>
    </cfRule>
  </conditionalFormatting>
  <conditionalFormatting sqref="I11">
    <cfRule type="expression" dxfId="22" priority="26">
      <formula>I11&lt;&gt;J11</formula>
    </cfRule>
  </conditionalFormatting>
  <conditionalFormatting sqref="I15">
    <cfRule type="expression" dxfId="21" priority="27">
      <formula>I15&lt;&gt;J15</formula>
    </cfRule>
  </conditionalFormatting>
  <conditionalFormatting sqref="I16">
    <cfRule type="expression" dxfId="20" priority="28">
      <formula>I16&lt;&gt;J16</formula>
    </cfRule>
  </conditionalFormatting>
  <conditionalFormatting sqref="I17">
    <cfRule type="expression" dxfId="19" priority="29">
      <formula>I17&lt;&gt;J17</formula>
    </cfRule>
  </conditionalFormatting>
  <conditionalFormatting sqref="I18">
    <cfRule type="expression" dxfId="18" priority="30">
      <formula>I18&lt;&gt;J18</formula>
    </cfRule>
  </conditionalFormatting>
  <conditionalFormatting sqref="I19">
    <cfRule type="expression" dxfId="17" priority="31">
      <formula>I19&lt;&gt;J19</formula>
    </cfRule>
  </conditionalFormatting>
  <conditionalFormatting sqref="I24">
    <cfRule type="expression" dxfId="16" priority="32">
      <formula>I24&lt;&gt;J24</formula>
    </cfRule>
  </conditionalFormatting>
  <conditionalFormatting sqref="I25">
    <cfRule type="expression" dxfId="15" priority="33">
      <formula>I25&lt;&gt;J25</formula>
    </cfRule>
  </conditionalFormatting>
  <conditionalFormatting sqref="I26">
    <cfRule type="expression" dxfId="14" priority="34">
      <formula>I26&lt;&gt;J26</formula>
    </cfRule>
  </conditionalFormatting>
  <conditionalFormatting sqref="I27">
    <cfRule type="expression" dxfId="13" priority="35">
      <formula>I27&lt;&gt;J27</formula>
    </cfRule>
  </conditionalFormatting>
  <conditionalFormatting sqref="I32">
    <cfRule type="expression" dxfId="12" priority="36">
      <formula>I32&lt;&gt;J32</formula>
    </cfRule>
  </conditionalFormatting>
  <conditionalFormatting sqref="I33">
    <cfRule type="expression" dxfId="11" priority="37">
      <formula>I33&lt;&gt;J33</formula>
    </cfRule>
  </conditionalFormatting>
  <conditionalFormatting sqref="I38">
    <cfRule type="expression" dxfId="10" priority="38">
      <formula>I38&lt;&gt;J38</formula>
    </cfRule>
  </conditionalFormatting>
  <conditionalFormatting sqref="I39">
    <cfRule type="expression" dxfId="9" priority="39">
      <formula>I39&lt;&gt;J39</formula>
    </cfRule>
  </conditionalFormatting>
  <conditionalFormatting sqref="I40">
    <cfRule type="expression" dxfId="8" priority="40">
      <formula>I40&lt;&gt;J40</formula>
    </cfRule>
  </conditionalFormatting>
  <conditionalFormatting sqref="I41">
    <cfRule type="expression" dxfId="7" priority="41">
      <formula>I41&lt;&gt;J41</formula>
    </cfRule>
  </conditionalFormatting>
  <conditionalFormatting sqref="I46">
    <cfRule type="expression" dxfId="6" priority="42">
      <formula>I46&lt;&gt;J46</formula>
    </cfRule>
  </conditionalFormatting>
  <conditionalFormatting sqref="I47">
    <cfRule type="expression" dxfId="5" priority="43">
      <formula>I47&lt;&gt;J47</formula>
    </cfRule>
  </conditionalFormatting>
  <conditionalFormatting sqref="I48">
    <cfRule type="expression" dxfId="4" priority="44">
      <formula>I48&lt;&gt;J48</formula>
    </cfRule>
  </conditionalFormatting>
  <conditionalFormatting sqref="I49">
    <cfRule type="expression" dxfId="3" priority="45">
      <formula>I49&lt;&gt;J49</formula>
    </cfRule>
  </conditionalFormatting>
  <conditionalFormatting sqref="I51">
    <cfRule type="expression" dxfId="2" priority="46">
      <formula>I51&lt;&gt;J51</formula>
    </cfRule>
  </conditionalFormatting>
  <conditionalFormatting sqref="I55">
    <cfRule type="expression" dxfId="1" priority="47">
      <formula>I55&lt;&gt;J55</formula>
    </cfRule>
  </conditionalFormatting>
  <conditionalFormatting sqref="I56">
    <cfRule type="expression" dxfId="0" priority="48">
      <formula>I56&lt;&gt;J56</formula>
    </cfRule>
  </conditionalFormatting>
  <dataValidations xWindow="1045" yWindow="2007" count="23">
    <dataValidation type="textLength" allowBlank="1" showInputMessage="1" showErrorMessage="1" promptTitle="Maximum 250 characters" prompt=" " sqref="L55:M56">
      <formula1>0</formula1>
      <formula2>250</formula2>
    </dataValidation>
    <dataValidation type="textLength" allowBlank="1" showInputMessage="1" showErrorMessage="1" promptTitle="Maximum 250 characters" prompt=" " sqref="L46:M49">
      <formula1>0</formula1>
      <formula2>250</formula2>
    </dataValidation>
    <dataValidation type="textLength" allowBlank="1" showInputMessage="1" showErrorMessage="1" promptTitle="Maximum 250 characters" prompt=" " sqref="L24:M27">
      <formula1>0</formula1>
      <formula2>250</formula2>
    </dataValidation>
    <dataValidation type="textLength" allowBlank="1" showInputMessage="1" showErrorMessage="1" promptTitle="Maximum 250 characters" prompt=" " sqref="L6:M11">
      <formula1>0</formula1>
      <formula2>250</formula2>
    </dataValidation>
    <dataValidation type="textLength" allowBlank="1" showInputMessage="1" showErrorMessage="1" promptTitle="Maximum 250 characters" prompt=" " sqref="L15:M19">
      <formula1>0</formula1>
      <formula2>250</formula2>
    </dataValidation>
    <dataValidation type="textLength" allowBlank="1" showInputMessage="1" showErrorMessage="1" promptTitle="Maximum 250 characters" prompt=" " sqref="L32:M33">
      <formula1>0</formula1>
      <formula2>250</formula2>
    </dataValidation>
    <dataValidation type="textLength" allowBlank="1" showInputMessage="1" showErrorMessage="1" promptTitle="Maximum 250 characters" prompt=" " sqref="L38:M41">
      <formula1>0</formula1>
      <formula2>250</formula2>
    </dataValidation>
    <dataValidation type="textLength" allowBlank="1" showInputMessage="1" showErrorMessage="1" promptTitle="Maximum 250 characters" prompt=" " sqref="L51:M51">
      <formula1>0</formula1>
      <formula2>250</formula2>
    </dataValidation>
    <dataValidation type="whole" operator="greaterThan" allowBlank="1" showInputMessage="1" showErrorMessage="1" errorTitle="Whole numbers only allowed" promptTitle="If a value is entered here..." prompt="Please complete the text box to the right (column L)" sqref="H38:H41">
      <formula1>-99999999</formula1>
    </dataValidation>
    <dataValidation type="whole" operator="greaterThan" allowBlank="1" showInputMessage="1" showErrorMessage="1" errorTitle="Whole numbers only allowed" promptTitle="If a value is entered here..." prompt="Please complete the text box to the right (column L)" sqref="H24:H27">
      <formula1>-99999999</formula1>
    </dataValidation>
    <dataValidation type="whole" operator="greaterThan" allowBlank="1" showInputMessage="1" showErrorMessage="1" errorTitle="Whole numbers only allowed" promptTitle="If a value is entered here..." prompt="Please complete the text box to the right (column L)" sqref="H32:H33">
      <formula1>-99999999</formula1>
    </dataValidation>
    <dataValidation type="whole" operator="greaterThan" allowBlank="1" showInputMessage="1" showErrorMessage="1" errorTitle="Whole numbers only allowed" promptTitle="If a value is entered here..." prompt="Please complete the text box to the right (column L)" sqref="H15:H19">
      <formula1>-99999999</formula1>
    </dataValidation>
    <dataValidation type="whole" operator="greaterThan" allowBlank="1" showInputMessage="1" showErrorMessage="1" errorTitle="Whole numbers only allowed" promptTitle="If a value is entered here..." prompt="Please complete the text box to the right (column L)" sqref="H6:H11">
      <formula1>-99999999</formula1>
    </dataValidation>
    <dataValidation type="whole" operator="greaterThan" allowBlank="1" showInputMessage="1" showErrorMessage="1" errorTitle="Whole numbers only allowed" promptTitle="If a value is entered here..." prompt="Please complete the text box to the right (column L)" sqref="H46:H49">
      <formula1>-99999999</formula1>
    </dataValidation>
    <dataValidation type="whole" operator="greaterThan" allowBlank="1" showInputMessage="1" showErrorMessage="1" errorTitle="Whole numbers only allowed" promptTitle="If a value is entered here..." prompt="Please complete the text box to the right (column L)" sqref="H55:H56">
      <formula1>-99999999</formula1>
    </dataValidation>
    <dataValidation type="whole" operator="greaterThan" allowBlank="1" showInputMessage="1" showErrorMessage="1" errorTitle="Whole numbers only allowed" promptTitle="If a value is entered here..." prompt="Please complete the text box to the right (column M)" sqref="I6:J11">
      <formula1>-99999999</formula1>
    </dataValidation>
    <dataValidation type="whole" operator="greaterThan" allowBlank="1" showInputMessage="1" showErrorMessage="1" errorTitle="Whole numbers only allowed" promptTitle="If a value is entered here..." prompt="Please complete the text box to the right (column M)" sqref="I15:J19">
      <formula1>-99999999</formula1>
    </dataValidation>
    <dataValidation type="whole" operator="greaterThan" allowBlank="1" showInputMessage="1" showErrorMessage="1" errorTitle="Whole numbers only allowed" promptTitle="If a value is entered here..." prompt="Please complete the text box to the right (column M)" sqref="I24:J27">
      <formula1>-99999999</formula1>
    </dataValidation>
    <dataValidation type="whole" operator="greaterThan" allowBlank="1" showInputMessage="1" showErrorMessage="1" errorTitle="Whole numbers only allowed" promptTitle="If a value is entered here..." prompt="Please complete the text box to the right (column M)" sqref="I32:J33">
      <formula1>-99999999</formula1>
    </dataValidation>
    <dataValidation type="whole" operator="greaterThan" allowBlank="1" showInputMessage="1" showErrorMessage="1" errorTitle="Whole numbers only allowed" promptTitle="If a value is entered here..." prompt="Please complete the text box to the right (column M)" sqref="I38:J41">
      <formula1>-99999999</formula1>
    </dataValidation>
    <dataValidation type="whole" operator="greaterThan" allowBlank="1" showInputMessage="1" showErrorMessage="1" errorTitle="Whole numbers only allowed" promptTitle="If a value is entered here..." prompt="Please complete the text box to the right (column M)" sqref="I46:J49">
      <formula1>-99999999</formula1>
    </dataValidation>
    <dataValidation type="whole" operator="greaterThan" allowBlank="1" showInputMessage="1" showErrorMessage="1" errorTitle="Whole numbers only allowed" promptTitle="If a value is entered here..." prompt="Please complete the text box to the right (column M)" sqref="I55:J56">
      <formula1>-99999999</formula1>
    </dataValidation>
    <dataValidation type="whole" operator="greaterThan" allowBlank="1" showInputMessage="1" showErrorMessage="1" errorTitle="Whole numbers only allowed" error="All monies should be independently rounded to the nearest £1,000." sqref="H50:J52">
      <formula1>-99999999</formula1>
    </dataValidation>
  </dataValidations>
  <printOptions headings="1"/>
  <pageMargins left="0.31496062992125984" right="0.31496062992125984" top="0.74803149606299213" bottom="0.74803149606299213" header="0.31496062992125984" footer="0.31496062992125984"/>
  <pageSetup paperSize="9" scale="5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J45"/>
  <sheetViews>
    <sheetView topLeftCell="A25" zoomScale="80" zoomScaleNormal="80" workbookViewId="0">
      <selection activeCell="J45" sqref="J45"/>
    </sheetView>
  </sheetViews>
  <sheetFormatPr defaultColWidth="9.28515625" defaultRowHeight="15" x14ac:dyDescent="0.25"/>
  <cols>
    <col min="1" max="1" width="12.28515625" style="44" customWidth="1"/>
    <col min="2" max="3" width="1.5703125" style="44" customWidth="1"/>
    <col min="4" max="7" width="9.28515625" style="44" customWidth="1"/>
    <col min="8" max="8" width="99.140625" style="44" customWidth="1"/>
    <col min="9" max="9" width="14.5703125" style="44" customWidth="1"/>
    <col min="10" max="10" width="15.5703125" style="44" customWidth="1"/>
    <col min="11" max="11" width="15" style="44" customWidth="1"/>
    <col min="12" max="12" width="15.28515625" style="44" customWidth="1"/>
    <col min="13" max="13" width="14.28515625" style="44" customWidth="1"/>
    <col min="14" max="14" width="14" style="44" customWidth="1"/>
    <col min="15" max="15" width="15.7109375" style="44" customWidth="1"/>
    <col min="16" max="16" width="13.7109375" style="44" customWidth="1"/>
    <col min="17" max="17" width="15.28515625" style="44" customWidth="1"/>
    <col min="18" max="18" width="15.7109375" style="44" customWidth="1"/>
    <col min="19" max="19" width="14.85546875" style="44" customWidth="1"/>
    <col min="20" max="20" width="86.28515625" style="44" customWidth="1"/>
    <col min="21" max="26" width="9.28515625" style="44" customWidth="1"/>
    <col min="27" max="27" width="16.28515625" style="44" hidden="1" customWidth="1"/>
    <col min="28" max="28" width="15.7109375" style="44" hidden="1" customWidth="1"/>
    <col min="29" max="29" width="16.28515625" style="44" hidden="1" customWidth="1"/>
    <col min="30" max="30" width="14.28515625" style="44" hidden="1" customWidth="1"/>
    <col min="31" max="31" width="16.28515625" style="44" hidden="1" customWidth="1"/>
    <col min="32" max="32" width="16" style="44" hidden="1" customWidth="1"/>
    <col min="33" max="33" width="16.28515625" style="44" hidden="1" customWidth="1"/>
    <col min="34" max="34" width="17.7109375" style="44" hidden="1" customWidth="1"/>
    <col min="35" max="35" width="5.85546875" style="44" hidden="1" customWidth="1"/>
    <col min="36" max="36" width="42.7109375" style="44" hidden="1" customWidth="1"/>
    <col min="37" max="37" width="9.28515625" style="44" customWidth="1"/>
    <col min="38" max="16384" width="9.28515625" style="44"/>
  </cols>
  <sheetData>
    <row r="1" spans="1:36" customFormat="1" ht="15.4" customHeight="1" x14ac:dyDescent="0.25">
      <c r="A1" s="485" t="s">
        <v>1280</v>
      </c>
      <c r="B1" s="619" t="s">
        <v>1281</v>
      </c>
      <c r="C1" s="619"/>
      <c r="D1" s="619"/>
      <c r="E1" s="619"/>
      <c r="F1" s="619"/>
      <c r="G1" s="619"/>
      <c r="H1" s="201"/>
      <c r="I1" s="201"/>
      <c r="J1" s="664"/>
      <c r="K1" s="664"/>
      <c r="L1" s="664"/>
      <c r="M1" s="664"/>
      <c r="N1" s="664"/>
      <c r="O1" s="487"/>
      <c r="P1" s="487"/>
      <c r="Q1" s="487"/>
      <c r="R1" s="487"/>
      <c r="S1" s="488"/>
    </row>
    <row r="2" spans="1:36" customFormat="1" ht="15.95" customHeight="1" x14ac:dyDescent="0.25">
      <c r="A2" s="670"/>
      <c r="B2" s="671"/>
      <c r="C2" s="671"/>
      <c r="D2" s="671"/>
      <c r="E2" s="671"/>
      <c r="F2" s="148"/>
      <c r="G2" s="148"/>
      <c r="H2" s="148"/>
      <c r="I2" s="148"/>
      <c r="J2" s="665"/>
      <c r="K2" s="665"/>
      <c r="L2" s="665"/>
      <c r="M2" s="665"/>
      <c r="N2" s="665"/>
      <c r="O2" s="490"/>
      <c r="P2" s="491"/>
      <c r="Q2" s="491"/>
      <c r="R2" s="491"/>
      <c r="S2" s="492"/>
      <c r="AA2" s="168" t="s">
        <v>34</v>
      </c>
      <c r="AB2" s="168" t="s">
        <v>34</v>
      </c>
      <c r="AC2" s="168" t="s">
        <v>34</v>
      </c>
      <c r="AD2" s="168" t="s">
        <v>34</v>
      </c>
      <c r="AE2" s="168" t="s">
        <v>34</v>
      </c>
      <c r="AF2" s="168" t="s">
        <v>34</v>
      </c>
      <c r="AG2" s="168" t="s">
        <v>34</v>
      </c>
      <c r="AH2" s="168" t="s">
        <v>34</v>
      </c>
      <c r="AJ2" s="168" t="s">
        <v>34</v>
      </c>
    </row>
    <row r="3" spans="1:36" customFormat="1" ht="54.4" customHeight="1" x14ac:dyDescent="0.25">
      <c r="A3" s="493"/>
      <c r="B3" s="494"/>
      <c r="C3" s="494"/>
      <c r="D3" s="658" t="s">
        <v>1282</v>
      </c>
      <c r="E3" s="658"/>
      <c r="F3" s="658"/>
      <c r="G3" s="658"/>
      <c r="H3" s="658"/>
      <c r="I3" s="495"/>
      <c r="J3" s="666" t="s">
        <v>1283</v>
      </c>
      <c r="K3" s="667"/>
      <c r="L3" s="666" t="s">
        <v>1284</v>
      </c>
      <c r="M3" s="667"/>
      <c r="N3" s="666" t="s">
        <v>1285</v>
      </c>
      <c r="O3" s="667"/>
      <c r="P3" s="666" t="s">
        <v>1286</v>
      </c>
      <c r="Q3" s="667"/>
      <c r="R3" s="666" t="s">
        <v>682</v>
      </c>
      <c r="S3" s="667"/>
      <c r="AA3" s="666" t="s">
        <v>1283</v>
      </c>
      <c r="AB3" s="667"/>
      <c r="AC3" s="666" t="s">
        <v>1284</v>
      </c>
      <c r="AD3" s="667"/>
      <c r="AE3" s="666" t="s">
        <v>1285</v>
      </c>
      <c r="AF3" s="667"/>
      <c r="AG3" s="666" t="s">
        <v>1286</v>
      </c>
      <c r="AH3" s="667"/>
      <c r="AJ3" s="496"/>
    </row>
    <row r="4" spans="1:36" customFormat="1" ht="56.1" customHeight="1" x14ac:dyDescent="0.25">
      <c r="A4" s="493"/>
      <c r="B4" s="494"/>
      <c r="C4" s="494"/>
      <c r="D4" s="658"/>
      <c r="E4" s="658"/>
      <c r="F4" s="658"/>
      <c r="G4" s="658"/>
      <c r="H4" s="658"/>
      <c r="I4" s="497"/>
      <c r="J4" s="498" t="s">
        <v>613</v>
      </c>
      <c r="K4" s="499" t="s">
        <v>614</v>
      </c>
      <c r="L4" s="498" t="s">
        <v>613</v>
      </c>
      <c r="M4" s="499" t="s">
        <v>614</v>
      </c>
      <c r="N4" s="498" t="s">
        <v>613</v>
      </c>
      <c r="O4" s="499" t="s">
        <v>614</v>
      </c>
      <c r="P4" s="498" t="s">
        <v>613</v>
      </c>
      <c r="Q4" s="499" t="s">
        <v>614</v>
      </c>
      <c r="R4" s="498" t="s">
        <v>613</v>
      </c>
      <c r="S4" s="499" t="s">
        <v>614</v>
      </c>
      <c r="AA4" s="498" t="s">
        <v>613</v>
      </c>
      <c r="AB4" s="499" t="s">
        <v>614</v>
      </c>
      <c r="AC4" s="498" t="s">
        <v>613</v>
      </c>
      <c r="AD4" s="499" t="s">
        <v>614</v>
      </c>
      <c r="AE4" s="498" t="s">
        <v>613</v>
      </c>
      <c r="AF4" s="499" t="s">
        <v>614</v>
      </c>
      <c r="AG4" s="498" t="s">
        <v>613</v>
      </c>
      <c r="AH4" s="499" t="s">
        <v>614</v>
      </c>
      <c r="AJ4" s="262" t="s">
        <v>1281</v>
      </c>
    </row>
    <row r="5" spans="1:36" customFormat="1" ht="26.65" customHeight="1" x14ac:dyDescent="0.25">
      <c r="A5" s="493"/>
      <c r="B5" s="500"/>
      <c r="C5" s="500"/>
      <c r="D5" s="500"/>
      <c r="E5" s="500"/>
      <c r="F5" s="500"/>
      <c r="G5" s="500"/>
      <c r="H5" s="500"/>
      <c r="I5" s="495"/>
      <c r="J5" s="160" t="s">
        <v>616</v>
      </c>
      <c r="K5" s="160" t="s">
        <v>616</v>
      </c>
      <c r="L5" s="160" t="s">
        <v>616</v>
      </c>
      <c r="M5" s="160" t="s">
        <v>616</v>
      </c>
      <c r="N5" s="160" t="s">
        <v>616</v>
      </c>
      <c r="O5" s="160" t="s">
        <v>616</v>
      </c>
      <c r="P5" s="160" t="s">
        <v>616</v>
      </c>
      <c r="Q5" s="160" t="s">
        <v>616</v>
      </c>
      <c r="R5" s="160" t="s">
        <v>616</v>
      </c>
      <c r="S5" s="160" t="s">
        <v>616</v>
      </c>
      <c r="AA5" s="160" t="s">
        <v>616</v>
      </c>
      <c r="AB5" s="160" t="s">
        <v>616</v>
      </c>
      <c r="AC5" s="160" t="s">
        <v>616</v>
      </c>
      <c r="AD5" s="160" t="s">
        <v>616</v>
      </c>
      <c r="AE5" s="160" t="s">
        <v>616</v>
      </c>
      <c r="AF5" s="160" t="s">
        <v>616</v>
      </c>
      <c r="AG5" s="160" t="s">
        <v>616</v>
      </c>
      <c r="AH5" s="160" t="s">
        <v>616</v>
      </c>
      <c r="AJ5" s="262" t="s">
        <v>1287</v>
      </c>
    </row>
    <row r="6" spans="1:36" x14ac:dyDescent="0.25">
      <c r="A6" s="162" t="s">
        <v>621</v>
      </c>
      <c r="B6" s="453"/>
      <c r="C6" s="426"/>
      <c r="D6" s="300" t="s">
        <v>1288</v>
      </c>
      <c r="E6" s="170"/>
      <c r="F6" s="170"/>
      <c r="G6" s="171"/>
      <c r="H6" s="171"/>
      <c r="I6" s="172"/>
      <c r="J6" s="668" t="s">
        <v>1526</v>
      </c>
      <c r="K6" s="669"/>
      <c r="L6" s="668" t="s">
        <v>1527</v>
      </c>
      <c r="M6" s="669"/>
      <c r="N6" s="668" t="s">
        <v>1289</v>
      </c>
      <c r="O6" s="669"/>
      <c r="P6" s="668" t="s">
        <v>1289</v>
      </c>
      <c r="Q6" s="669"/>
      <c r="R6" s="672" t="s">
        <v>1290</v>
      </c>
      <c r="S6" s="673"/>
    </row>
    <row r="7" spans="1:36" x14ac:dyDescent="0.25">
      <c r="A7" s="162" t="s">
        <v>623</v>
      </c>
      <c r="B7" s="453"/>
      <c r="C7" s="426"/>
      <c r="D7" s="300" t="s">
        <v>1291</v>
      </c>
      <c r="E7" s="170"/>
      <c r="F7" s="170"/>
      <c r="G7" s="171"/>
      <c r="H7" s="171"/>
      <c r="I7" s="172"/>
      <c r="J7" s="659">
        <v>43136</v>
      </c>
      <c r="K7" s="660"/>
      <c r="L7" s="659">
        <v>37530</v>
      </c>
      <c r="M7" s="660"/>
      <c r="N7" s="659"/>
      <c r="O7" s="660"/>
      <c r="P7" s="659"/>
      <c r="Q7" s="660"/>
      <c r="R7" s="672" t="s">
        <v>1290</v>
      </c>
      <c r="S7" s="673"/>
      <c r="AA7" s="501" t="str">
        <f>IF(TEXT(J7,"YYYYMMDD")="19000100","0",TEXT(J7,"YYYYMMDD"))</f>
        <v>20180205</v>
      </c>
      <c r="AC7" s="501" t="str">
        <f>IF(TEXT(L7,"YYYYMMDD")="19000100","0",TEXT(L7,"YYYYMMDD"))</f>
        <v>20021001</v>
      </c>
      <c r="AE7" s="501" t="str">
        <f>IF(TEXT(N7,"YYYYMMDD")="19000100","0",TEXT(N7,"YYYYMMDD"))</f>
        <v>0</v>
      </c>
      <c r="AG7" s="501" t="str">
        <f>IF(TEXT(P7,"YYYYMMDD")="19000100","0",TEXT(P7,"YYYYMMDD"))</f>
        <v>0</v>
      </c>
    </row>
    <row r="8" spans="1:36" x14ac:dyDescent="0.25">
      <c r="A8" s="162" t="s">
        <v>625</v>
      </c>
      <c r="B8" s="453"/>
      <c r="C8" s="426"/>
      <c r="D8" s="300" t="s">
        <v>1292</v>
      </c>
      <c r="E8" s="170"/>
      <c r="F8" s="170"/>
      <c r="G8" s="171"/>
      <c r="H8" s="171"/>
      <c r="I8" s="172"/>
      <c r="J8" s="659"/>
      <c r="K8" s="660"/>
      <c r="L8" s="659">
        <v>43135</v>
      </c>
      <c r="M8" s="660"/>
      <c r="N8" s="659"/>
      <c r="O8" s="660"/>
      <c r="P8" s="659"/>
      <c r="Q8" s="660"/>
      <c r="R8" s="672" t="s">
        <v>1290</v>
      </c>
      <c r="S8" s="673"/>
      <c r="AA8" s="501" t="str">
        <f>IF(TEXT(J8,"YYYYMMDD")="19000100","0",TEXT(J8,"YYYYMMDD"))</f>
        <v>0</v>
      </c>
      <c r="AC8" s="501" t="str">
        <f>IF(TEXT(L8,"YYYYMMDD")="19000100","0",TEXT(L8,"YYYYMMDD"))</f>
        <v>20180204</v>
      </c>
      <c r="AE8" s="501" t="str">
        <f>IF(TEXT(N8,"YYYYMMDD")="19000100","0",TEXT(N8,"YYYYMMDD"))</f>
        <v>0</v>
      </c>
      <c r="AG8" s="501" t="str">
        <f>IF(TEXT(P8,"YYYYMMDD")="19000100","0",TEXT(P8,"YYYYMMDD"))</f>
        <v>0</v>
      </c>
    </row>
    <row r="9" spans="1:36" x14ac:dyDescent="0.25">
      <c r="A9" s="162"/>
      <c r="B9" s="502"/>
      <c r="C9" s="503"/>
      <c r="D9" s="504"/>
      <c r="E9" s="505"/>
      <c r="F9" s="506"/>
      <c r="G9" s="506"/>
      <c r="H9" s="506"/>
      <c r="I9" s="507"/>
      <c r="J9" s="508"/>
      <c r="K9" s="508"/>
      <c r="L9" s="508"/>
      <c r="M9" s="508"/>
      <c r="N9" s="508"/>
      <c r="O9" s="508"/>
      <c r="P9" s="508"/>
      <c r="Q9" s="508"/>
      <c r="R9" s="508"/>
      <c r="S9" s="508"/>
    </row>
    <row r="10" spans="1:36" x14ac:dyDescent="0.25">
      <c r="A10" s="162" t="s">
        <v>636</v>
      </c>
      <c r="B10" s="453"/>
      <c r="C10" s="426"/>
      <c r="D10" s="300" t="s">
        <v>1293</v>
      </c>
      <c r="E10" s="170"/>
      <c r="F10" s="170"/>
      <c r="G10" s="171"/>
      <c r="H10" s="171"/>
      <c r="I10" s="172"/>
      <c r="J10" s="173">
        <v>171</v>
      </c>
      <c r="K10" s="173">
        <v>0</v>
      </c>
      <c r="L10" s="173">
        <v>130</v>
      </c>
      <c r="M10" s="173">
        <v>257</v>
      </c>
      <c r="N10" s="173">
        <v>0</v>
      </c>
      <c r="O10" s="173">
        <v>0</v>
      </c>
      <c r="P10" s="173">
        <v>0</v>
      </c>
      <c r="Q10" s="173">
        <v>0</v>
      </c>
      <c r="R10" s="196">
        <f t="shared" ref="R10:S17" si="0">SUM(J10+L10+N10+P10)</f>
        <v>301</v>
      </c>
      <c r="S10" s="196">
        <f t="shared" si="0"/>
        <v>257</v>
      </c>
    </row>
    <row r="11" spans="1:36" x14ac:dyDescent="0.25">
      <c r="A11" s="162" t="s">
        <v>638</v>
      </c>
      <c r="B11" s="453"/>
      <c r="C11" s="426"/>
      <c r="D11" s="300" t="s">
        <v>1294</v>
      </c>
      <c r="E11" s="170"/>
      <c r="F11" s="170"/>
      <c r="G11" s="171"/>
      <c r="H11" s="171"/>
      <c r="I11" s="172"/>
      <c r="J11" s="173">
        <v>0</v>
      </c>
      <c r="K11" s="173">
        <v>0</v>
      </c>
      <c r="L11" s="173">
        <v>0</v>
      </c>
      <c r="M11" s="173">
        <v>0</v>
      </c>
      <c r="N11" s="173">
        <v>0</v>
      </c>
      <c r="O11" s="173">
        <v>0</v>
      </c>
      <c r="P11" s="173">
        <v>0</v>
      </c>
      <c r="Q11" s="173">
        <v>0</v>
      </c>
      <c r="R11" s="196">
        <f t="shared" si="0"/>
        <v>0</v>
      </c>
      <c r="S11" s="196">
        <f t="shared" si="0"/>
        <v>0</v>
      </c>
    </row>
    <row r="12" spans="1:36" x14ac:dyDescent="0.25">
      <c r="A12" s="162" t="s">
        <v>640</v>
      </c>
      <c r="B12" s="453"/>
      <c r="C12" s="426"/>
      <c r="D12" s="300" t="s">
        <v>1295</v>
      </c>
      <c r="E12" s="179"/>
      <c r="F12" s="171"/>
      <c r="G12" s="171"/>
      <c r="H12" s="171"/>
      <c r="I12" s="172"/>
      <c r="J12" s="173">
        <v>0</v>
      </c>
      <c r="K12" s="173">
        <v>0</v>
      </c>
      <c r="L12" s="173">
        <v>20</v>
      </c>
      <c r="M12" s="173">
        <v>20</v>
      </c>
      <c r="N12" s="173">
        <v>0</v>
      </c>
      <c r="O12" s="173">
        <v>0</v>
      </c>
      <c r="P12" s="173">
        <v>0</v>
      </c>
      <c r="Q12" s="173">
        <v>0</v>
      </c>
      <c r="R12" s="196">
        <f t="shared" si="0"/>
        <v>20</v>
      </c>
      <c r="S12" s="196">
        <f t="shared" si="0"/>
        <v>20</v>
      </c>
    </row>
    <row r="13" spans="1:36" x14ac:dyDescent="0.25">
      <c r="A13" s="162" t="s">
        <v>642</v>
      </c>
      <c r="B13" s="453"/>
      <c r="C13" s="426"/>
      <c r="D13" s="300" t="s">
        <v>1296</v>
      </c>
      <c r="E13" s="192"/>
      <c r="F13" s="192"/>
      <c r="G13" s="192"/>
      <c r="H13" s="192"/>
      <c r="I13" s="193"/>
      <c r="J13" s="173">
        <v>26</v>
      </c>
      <c r="K13" s="173">
        <v>0</v>
      </c>
      <c r="L13" s="173">
        <v>19</v>
      </c>
      <c r="M13" s="173">
        <v>36</v>
      </c>
      <c r="N13" s="173">
        <v>0</v>
      </c>
      <c r="O13" s="173">
        <v>0</v>
      </c>
      <c r="P13" s="173">
        <v>0</v>
      </c>
      <c r="Q13" s="173">
        <v>0</v>
      </c>
      <c r="R13" s="196">
        <f t="shared" si="0"/>
        <v>45</v>
      </c>
      <c r="S13" s="196">
        <f t="shared" si="0"/>
        <v>36</v>
      </c>
    </row>
    <row r="14" spans="1:36" x14ac:dyDescent="0.25">
      <c r="A14" s="162" t="s">
        <v>644</v>
      </c>
      <c r="B14" s="453"/>
      <c r="C14" s="426"/>
      <c r="D14" s="300" t="s">
        <v>1297</v>
      </c>
      <c r="E14" s="179"/>
      <c r="F14" s="179"/>
      <c r="G14" s="179"/>
      <c r="H14" s="179"/>
      <c r="I14" s="509"/>
      <c r="J14" s="173">
        <v>0</v>
      </c>
      <c r="K14" s="173">
        <v>0</v>
      </c>
      <c r="L14" s="173">
        <v>0</v>
      </c>
      <c r="M14" s="173">
        <v>0</v>
      </c>
      <c r="N14" s="173">
        <v>0</v>
      </c>
      <c r="O14" s="173">
        <v>0</v>
      </c>
      <c r="P14" s="173">
        <v>0</v>
      </c>
      <c r="Q14" s="173">
        <v>0</v>
      </c>
      <c r="R14" s="196">
        <f t="shared" si="0"/>
        <v>0</v>
      </c>
      <c r="S14" s="196">
        <f t="shared" si="0"/>
        <v>0</v>
      </c>
    </row>
    <row r="15" spans="1:36" x14ac:dyDescent="0.25">
      <c r="A15" s="162" t="s">
        <v>646</v>
      </c>
      <c r="B15" s="453"/>
      <c r="C15" s="426"/>
      <c r="D15" s="300" t="s">
        <v>1298</v>
      </c>
      <c r="E15" s="179"/>
      <c r="F15" s="179"/>
      <c r="G15" s="179"/>
      <c r="H15" s="179"/>
      <c r="I15" s="185"/>
      <c r="J15" s="173">
        <v>0</v>
      </c>
      <c r="K15" s="173">
        <v>0</v>
      </c>
      <c r="L15" s="173">
        <v>0</v>
      </c>
      <c r="M15" s="173">
        <v>0</v>
      </c>
      <c r="N15" s="173">
        <v>0</v>
      </c>
      <c r="O15" s="173">
        <v>0</v>
      </c>
      <c r="P15" s="173">
        <v>0</v>
      </c>
      <c r="Q15" s="173">
        <v>0</v>
      </c>
      <c r="R15" s="196">
        <f t="shared" si="0"/>
        <v>0</v>
      </c>
      <c r="S15" s="196">
        <f t="shared" si="0"/>
        <v>0</v>
      </c>
    </row>
    <row r="16" spans="1:36" x14ac:dyDescent="0.25">
      <c r="A16" s="162" t="s">
        <v>799</v>
      </c>
      <c r="B16" s="453"/>
      <c r="C16" s="426"/>
      <c r="D16" s="300" t="s">
        <v>1299</v>
      </c>
      <c r="E16" s="192"/>
      <c r="F16" s="192"/>
      <c r="G16" s="192"/>
      <c r="H16" s="192"/>
      <c r="I16" s="510"/>
      <c r="J16" s="173">
        <v>0</v>
      </c>
      <c r="K16" s="173">
        <v>0</v>
      </c>
      <c r="L16" s="173">
        <v>0</v>
      </c>
      <c r="M16" s="173">
        <v>0</v>
      </c>
      <c r="N16" s="173">
        <v>0</v>
      </c>
      <c r="O16" s="173">
        <v>0</v>
      </c>
      <c r="P16" s="173">
        <v>0</v>
      </c>
      <c r="Q16" s="173">
        <v>0</v>
      </c>
      <c r="R16" s="196">
        <f t="shared" si="0"/>
        <v>0</v>
      </c>
      <c r="S16" s="196">
        <f t="shared" si="0"/>
        <v>0</v>
      </c>
    </row>
    <row r="17" spans="1:30" x14ac:dyDescent="0.25">
      <c r="A17" s="162" t="s">
        <v>801</v>
      </c>
      <c r="B17" s="453"/>
      <c r="C17" s="426"/>
      <c r="D17" s="300" t="s">
        <v>1300</v>
      </c>
      <c r="E17" s="179"/>
      <c r="F17" s="171"/>
      <c r="G17" s="171"/>
      <c r="H17" s="171"/>
      <c r="I17" s="172"/>
      <c r="J17" s="173">
        <v>0</v>
      </c>
      <c r="K17" s="173">
        <v>0</v>
      </c>
      <c r="L17" s="173">
        <v>0</v>
      </c>
      <c r="M17" s="173">
        <v>0</v>
      </c>
      <c r="N17" s="173">
        <v>0</v>
      </c>
      <c r="O17" s="173">
        <v>0</v>
      </c>
      <c r="P17" s="173">
        <v>0</v>
      </c>
      <c r="Q17" s="173">
        <v>0</v>
      </c>
      <c r="R17" s="196">
        <f t="shared" si="0"/>
        <v>0</v>
      </c>
      <c r="S17" s="196">
        <f t="shared" si="0"/>
        <v>0</v>
      </c>
    </row>
    <row r="18" spans="1:30" x14ac:dyDescent="0.25">
      <c r="A18" s="162">
        <v>3</v>
      </c>
      <c r="B18" s="502"/>
      <c r="C18" s="503" t="s">
        <v>1301</v>
      </c>
      <c r="D18" s="504"/>
      <c r="E18" s="505"/>
      <c r="F18" s="506"/>
      <c r="G18" s="506"/>
      <c r="H18" s="506"/>
      <c r="I18" s="507"/>
      <c r="J18" s="508"/>
      <c r="K18" s="508"/>
      <c r="L18" s="508"/>
      <c r="M18" s="508"/>
      <c r="N18" s="508"/>
      <c r="O18" s="508"/>
      <c r="P18" s="508"/>
      <c r="Q18" s="508"/>
      <c r="R18" s="511"/>
      <c r="S18" s="511"/>
    </row>
    <row r="19" spans="1:30" x14ac:dyDescent="0.25">
      <c r="A19" s="162" t="s">
        <v>736</v>
      </c>
      <c r="B19" s="453"/>
      <c r="C19" s="426"/>
      <c r="D19" s="300" t="s">
        <v>1302</v>
      </c>
      <c r="E19" s="179"/>
      <c r="F19" s="171"/>
      <c r="G19" s="171"/>
      <c r="H19" s="171"/>
      <c r="I19" s="172"/>
      <c r="J19" s="173">
        <v>0</v>
      </c>
      <c r="K19" s="173">
        <v>0</v>
      </c>
      <c r="L19" s="173">
        <v>0</v>
      </c>
      <c r="M19" s="173">
        <v>0</v>
      </c>
      <c r="N19" s="173">
        <v>0</v>
      </c>
      <c r="O19" s="173">
        <v>0</v>
      </c>
      <c r="P19" s="173">
        <v>0</v>
      </c>
      <c r="Q19" s="173">
        <v>0</v>
      </c>
      <c r="R19" s="196">
        <f t="shared" ref="R19:S22" si="1">SUM(J19+L19+N19+P19)</f>
        <v>0</v>
      </c>
      <c r="S19" s="196">
        <f t="shared" si="1"/>
        <v>0</v>
      </c>
    </row>
    <row r="20" spans="1:30" x14ac:dyDescent="0.25">
      <c r="A20" s="162" t="s">
        <v>738</v>
      </c>
      <c r="B20" s="453"/>
      <c r="C20" s="426"/>
      <c r="D20" s="300" t="s">
        <v>1303</v>
      </c>
      <c r="E20" s="512"/>
      <c r="F20" s="171"/>
      <c r="G20" s="171"/>
      <c r="H20" s="171"/>
      <c r="I20" s="172"/>
      <c r="J20" s="173">
        <v>0</v>
      </c>
      <c r="K20" s="173">
        <v>0</v>
      </c>
      <c r="L20" s="173">
        <v>0</v>
      </c>
      <c r="M20" s="173">
        <v>0</v>
      </c>
      <c r="N20" s="173">
        <v>0</v>
      </c>
      <c r="O20" s="173">
        <v>0</v>
      </c>
      <c r="P20" s="173">
        <v>0</v>
      </c>
      <c r="Q20" s="173">
        <v>0</v>
      </c>
      <c r="R20" s="196">
        <f t="shared" si="1"/>
        <v>0</v>
      </c>
      <c r="S20" s="196">
        <f t="shared" si="1"/>
        <v>0</v>
      </c>
    </row>
    <row r="21" spans="1:30" x14ac:dyDescent="0.25">
      <c r="A21" s="162" t="s">
        <v>740</v>
      </c>
      <c r="B21" s="453"/>
      <c r="C21" s="426"/>
      <c r="D21" s="300" t="s">
        <v>1304</v>
      </c>
      <c r="E21" s="179"/>
      <c r="F21" s="171"/>
      <c r="G21" s="171"/>
      <c r="H21" s="171"/>
      <c r="I21" s="172"/>
      <c r="J21" s="173">
        <v>7</v>
      </c>
      <c r="K21" s="173">
        <v>0</v>
      </c>
      <c r="L21" s="173">
        <v>10</v>
      </c>
      <c r="M21" s="173">
        <v>8</v>
      </c>
      <c r="N21" s="173">
        <v>0</v>
      </c>
      <c r="O21" s="173">
        <v>0</v>
      </c>
      <c r="P21" s="173">
        <v>0</v>
      </c>
      <c r="Q21" s="173">
        <v>0</v>
      </c>
      <c r="R21" s="196">
        <f t="shared" si="1"/>
        <v>17</v>
      </c>
      <c r="S21" s="196">
        <f t="shared" si="1"/>
        <v>8</v>
      </c>
      <c r="T21" s="143" t="s">
        <v>1305</v>
      </c>
      <c r="U21" s="513"/>
      <c r="V21" s="513"/>
      <c r="W21" s="513"/>
      <c r="X21" s="513"/>
      <c r="Y21" s="513"/>
      <c r="Z21" s="513"/>
      <c r="AA21" s="513"/>
      <c r="AB21" s="513"/>
      <c r="AC21" s="513"/>
      <c r="AD21" s="513"/>
    </row>
    <row r="22" spans="1:30" x14ac:dyDescent="0.25">
      <c r="A22" s="162" t="s">
        <v>742</v>
      </c>
      <c r="B22" s="453"/>
      <c r="C22" s="426"/>
      <c r="D22" s="300" t="s">
        <v>1306</v>
      </c>
      <c r="E22" s="514"/>
      <c r="F22" s="192"/>
      <c r="G22" s="192"/>
      <c r="H22" s="192"/>
      <c r="I22" s="193"/>
      <c r="J22" s="173">
        <v>0</v>
      </c>
      <c r="K22" s="173">
        <v>0</v>
      </c>
      <c r="L22" s="173">
        <v>0</v>
      </c>
      <c r="M22" s="173">
        <v>0</v>
      </c>
      <c r="N22" s="173">
        <v>0</v>
      </c>
      <c r="O22" s="173">
        <v>0</v>
      </c>
      <c r="P22" s="173">
        <v>0</v>
      </c>
      <c r="Q22" s="173">
        <v>0</v>
      </c>
      <c r="R22" s="196">
        <f t="shared" si="1"/>
        <v>0</v>
      </c>
      <c r="S22" s="196">
        <f t="shared" si="1"/>
        <v>0</v>
      </c>
      <c r="T22" s="515"/>
    </row>
    <row r="23" spans="1:30" x14ac:dyDescent="0.25">
      <c r="A23" s="162" t="s">
        <v>744</v>
      </c>
      <c r="B23" s="450"/>
      <c r="C23" s="305" t="s">
        <v>1307</v>
      </c>
      <c r="D23" s="516"/>
      <c r="E23" s="242"/>
      <c r="F23" s="242"/>
      <c r="G23" s="242"/>
      <c r="H23" s="242"/>
      <c r="I23" s="243"/>
      <c r="J23" s="183">
        <f t="shared" ref="J23:S23" si="2">SUM(J19:J22)</f>
        <v>7</v>
      </c>
      <c r="K23" s="183">
        <f t="shared" si="2"/>
        <v>0</v>
      </c>
      <c r="L23" s="183">
        <f t="shared" si="2"/>
        <v>10</v>
      </c>
      <c r="M23" s="183">
        <f t="shared" si="2"/>
        <v>8</v>
      </c>
      <c r="N23" s="183">
        <f t="shared" si="2"/>
        <v>0</v>
      </c>
      <c r="O23" s="183">
        <f t="shared" si="2"/>
        <v>0</v>
      </c>
      <c r="P23" s="183">
        <f t="shared" si="2"/>
        <v>0</v>
      </c>
      <c r="Q23" s="183">
        <f t="shared" si="2"/>
        <v>0</v>
      </c>
      <c r="R23" s="183">
        <f t="shared" si="2"/>
        <v>17</v>
      </c>
      <c r="S23" s="183">
        <f t="shared" si="2"/>
        <v>8</v>
      </c>
      <c r="T23" s="517"/>
    </row>
    <row r="24" spans="1:30" x14ac:dyDescent="0.25">
      <c r="A24" s="162">
        <v>4</v>
      </c>
      <c r="B24" s="502"/>
      <c r="C24" s="503" t="s">
        <v>1308</v>
      </c>
      <c r="D24" s="504"/>
      <c r="E24" s="505"/>
      <c r="F24" s="506"/>
      <c r="G24" s="506"/>
      <c r="H24" s="506"/>
      <c r="I24" s="507"/>
      <c r="J24" s="508"/>
      <c r="K24" s="508"/>
      <c r="L24" s="508"/>
      <c r="M24" s="508"/>
      <c r="N24" s="508"/>
      <c r="O24" s="508"/>
      <c r="P24" s="508"/>
      <c r="Q24" s="508"/>
      <c r="R24" s="511"/>
      <c r="S24" s="511"/>
      <c r="T24" s="517"/>
    </row>
    <row r="25" spans="1:30" x14ac:dyDescent="0.25">
      <c r="A25" s="162" t="s">
        <v>707</v>
      </c>
      <c r="B25" s="453"/>
      <c r="C25" s="426"/>
      <c r="D25" s="300" t="s">
        <v>1309</v>
      </c>
      <c r="E25" s="171"/>
      <c r="F25" s="171"/>
      <c r="G25" s="171"/>
      <c r="H25" s="171"/>
      <c r="I25" s="172"/>
      <c r="J25" s="173">
        <v>0</v>
      </c>
      <c r="K25" s="173">
        <v>0</v>
      </c>
      <c r="L25" s="173">
        <v>0</v>
      </c>
      <c r="M25" s="173">
        <v>0</v>
      </c>
      <c r="N25" s="173">
        <v>0</v>
      </c>
      <c r="O25" s="173">
        <v>0</v>
      </c>
      <c r="P25" s="173">
        <v>0</v>
      </c>
      <c r="Q25" s="173">
        <v>0</v>
      </c>
      <c r="R25" s="196">
        <f t="shared" ref="R25:S27" si="3">SUM(J25+L25+N25+P25)</f>
        <v>0</v>
      </c>
      <c r="S25" s="196">
        <f t="shared" si="3"/>
        <v>0</v>
      </c>
      <c r="T25" s="517"/>
    </row>
    <row r="26" spans="1:30" x14ac:dyDescent="0.25">
      <c r="A26" s="162" t="s">
        <v>708</v>
      </c>
      <c r="B26" s="453"/>
      <c r="C26" s="426"/>
      <c r="D26" s="300" t="s">
        <v>1310</v>
      </c>
      <c r="E26" s="171"/>
      <c r="F26" s="171"/>
      <c r="G26" s="171"/>
      <c r="H26" s="171"/>
      <c r="I26" s="172"/>
      <c r="J26" s="173">
        <v>0</v>
      </c>
      <c r="K26" s="173">
        <v>0</v>
      </c>
      <c r="L26" s="173">
        <v>0</v>
      </c>
      <c r="M26" s="173">
        <v>0</v>
      </c>
      <c r="N26" s="173">
        <v>0</v>
      </c>
      <c r="O26" s="173">
        <v>0</v>
      </c>
      <c r="P26" s="173">
        <v>0</v>
      </c>
      <c r="Q26" s="173">
        <v>0</v>
      </c>
      <c r="R26" s="196">
        <f t="shared" si="3"/>
        <v>0</v>
      </c>
      <c r="S26" s="196">
        <f t="shared" si="3"/>
        <v>0</v>
      </c>
      <c r="T26" s="143" t="s">
        <v>1311</v>
      </c>
    </row>
    <row r="27" spans="1:30" x14ac:dyDescent="0.25">
      <c r="A27" s="162" t="s">
        <v>709</v>
      </c>
      <c r="B27" s="453"/>
      <c r="C27" s="426"/>
      <c r="D27" s="300" t="s">
        <v>1312</v>
      </c>
      <c r="E27" s="171"/>
      <c r="F27" s="171"/>
      <c r="G27" s="171"/>
      <c r="H27" s="171"/>
      <c r="I27" s="172"/>
      <c r="J27" s="173">
        <v>0</v>
      </c>
      <c r="K27" s="173">
        <v>0</v>
      </c>
      <c r="L27" s="173">
        <v>0</v>
      </c>
      <c r="M27" s="173">
        <v>0</v>
      </c>
      <c r="N27" s="173">
        <v>0</v>
      </c>
      <c r="O27" s="173">
        <v>0</v>
      </c>
      <c r="P27" s="173">
        <v>0</v>
      </c>
      <c r="Q27" s="173">
        <v>0</v>
      </c>
      <c r="R27" s="196">
        <f t="shared" si="3"/>
        <v>0</v>
      </c>
      <c r="S27" s="196">
        <f t="shared" si="3"/>
        <v>0</v>
      </c>
      <c r="T27" s="515"/>
    </row>
    <row r="28" spans="1:30" x14ac:dyDescent="0.25">
      <c r="A28" s="162">
        <v>5</v>
      </c>
      <c r="B28" s="502"/>
      <c r="C28" s="503" t="s">
        <v>1313</v>
      </c>
      <c r="D28" s="504"/>
      <c r="E28" s="505"/>
      <c r="F28" s="506"/>
      <c r="G28" s="506"/>
      <c r="H28" s="506"/>
      <c r="I28" s="507"/>
      <c r="J28" s="508"/>
      <c r="K28" s="508"/>
      <c r="L28" s="508"/>
      <c r="M28" s="508"/>
      <c r="N28" s="508"/>
      <c r="O28" s="508"/>
      <c r="P28" s="508"/>
      <c r="Q28" s="508"/>
      <c r="R28" s="511"/>
      <c r="S28" s="511"/>
      <c r="T28" s="517"/>
    </row>
    <row r="29" spans="1:30" x14ac:dyDescent="0.25">
      <c r="A29" s="162" t="s">
        <v>822</v>
      </c>
      <c r="B29" s="453"/>
      <c r="C29" s="426"/>
      <c r="D29" s="300" t="s">
        <v>1314</v>
      </c>
      <c r="E29" s="171"/>
      <c r="F29" s="171"/>
      <c r="G29" s="171"/>
      <c r="H29" s="171"/>
      <c r="I29" s="172"/>
      <c r="J29" s="173">
        <v>0</v>
      </c>
      <c r="K29" s="173">
        <v>0</v>
      </c>
      <c r="L29" s="173">
        <v>0</v>
      </c>
      <c r="M29" s="173">
        <v>0</v>
      </c>
      <c r="N29" s="173">
        <v>0</v>
      </c>
      <c r="O29" s="173">
        <v>0</v>
      </c>
      <c r="P29" s="173">
        <v>0</v>
      </c>
      <c r="Q29" s="173">
        <v>0</v>
      </c>
      <c r="R29" s="196">
        <f t="shared" ref="R29:S32" si="4">SUM(J29+L29+N29+P29)</f>
        <v>0</v>
      </c>
      <c r="S29" s="196">
        <f t="shared" si="4"/>
        <v>0</v>
      </c>
      <c r="T29" s="517"/>
    </row>
    <row r="30" spans="1:30" x14ac:dyDescent="0.25">
      <c r="A30" s="162" t="s">
        <v>824</v>
      </c>
      <c r="B30" s="453"/>
      <c r="C30" s="426"/>
      <c r="D30" s="300" t="s">
        <v>1315</v>
      </c>
      <c r="E30" s="171"/>
      <c r="F30" s="171"/>
      <c r="G30" s="171"/>
      <c r="H30" s="171"/>
      <c r="I30" s="172"/>
      <c r="J30" s="173">
        <v>0</v>
      </c>
      <c r="K30" s="173">
        <v>0</v>
      </c>
      <c r="L30" s="173">
        <v>0</v>
      </c>
      <c r="M30" s="173">
        <v>0</v>
      </c>
      <c r="N30" s="173">
        <v>0</v>
      </c>
      <c r="O30" s="173">
        <v>0</v>
      </c>
      <c r="P30" s="173">
        <v>0</v>
      </c>
      <c r="Q30" s="173">
        <v>0</v>
      </c>
      <c r="R30" s="196">
        <f t="shared" si="4"/>
        <v>0</v>
      </c>
      <c r="S30" s="196">
        <f t="shared" si="4"/>
        <v>0</v>
      </c>
      <c r="T30" s="517"/>
    </row>
    <row r="31" spans="1:30" x14ac:dyDescent="0.25">
      <c r="A31" s="162" t="s">
        <v>826</v>
      </c>
      <c r="B31" s="453"/>
      <c r="C31" s="426"/>
      <c r="D31" s="300" t="s">
        <v>1316</v>
      </c>
      <c r="E31" s="171"/>
      <c r="F31" s="171"/>
      <c r="G31" s="171"/>
      <c r="H31" s="171"/>
      <c r="I31" s="172"/>
      <c r="J31" s="173">
        <v>0</v>
      </c>
      <c r="K31" s="173">
        <v>0</v>
      </c>
      <c r="L31" s="173">
        <v>0</v>
      </c>
      <c r="M31" s="173">
        <v>0</v>
      </c>
      <c r="N31" s="173">
        <v>0</v>
      </c>
      <c r="O31" s="173">
        <v>0</v>
      </c>
      <c r="P31" s="173">
        <v>0</v>
      </c>
      <c r="Q31" s="173">
        <v>0</v>
      </c>
      <c r="R31" s="196">
        <f t="shared" si="4"/>
        <v>0</v>
      </c>
      <c r="S31" s="196">
        <f t="shared" si="4"/>
        <v>0</v>
      </c>
      <c r="T31" s="143" t="s">
        <v>1317</v>
      </c>
    </row>
    <row r="32" spans="1:30" x14ac:dyDescent="0.25">
      <c r="A32" s="162" t="s">
        <v>828</v>
      </c>
      <c r="B32" s="453"/>
      <c r="C32" s="426"/>
      <c r="D32" s="300" t="s">
        <v>1313</v>
      </c>
      <c r="E32" s="171"/>
      <c r="F32" s="171"/>
      <c r="G32" s="171"/>
      <c r="H32" s="171"/>
      <c r="I32" s="172"/>
      <c r="J32" s="173">
        <v>0</v>
      </c>
      <c r="K32" s="173">
        <v>0</v>
      </c>
      <c r="L32" s="173">
        <v>0</v>
      </c>
      <c r="M32" s="173">
        <v>0</v>
      </c>
      <c r="N32" s="173">
        <v>0</v>
      </c>
      <c r="O32" s="173">
        <v>0</v>
      </c>
      <c r="P32" s="173">
        <v>0</v>
      </c>
      <c r="Q32" s="173">
        <v>0</v>
      </c>
      <c r="R32" s="196">
        <f t="shared" si="4"/>
        <v>0</v>
      </c>
      <c r="S32" s="196">
        <f t="shared" si="4"/>
        <v>0</v>
      </c>
      <c r="T32" s="515"/>
    </row>
    <row r="33" spans="1:36" x14ac:dyDescent="0.25">
      <c r="A33" s="162">
        <v>6</v>
      </c>
      <c r="B33" s="245" t="s">
        <v>1318</v>
      </c>
      <c r="C33" s="518"/>
      <c r="D33" s="516"/>
      <c r="E33" s="242"/>
      <c r="F33" s="242"/>
      <c r="G33" s="242"/>
      <c r="H33" s="242"/>
      <c r="I33" s="243"/>
      <c r="J33" s="183">
        <f t="shared" ref="J33:S33" si="5">SUM(J10:J17,J23,J25:J27,J29:J32)</f>
        <v>204</v>
      </c>
      <c r="K33" s="183">
        <f t="shared" si="5"/>
        <v>0</v>
      </c>
      <c r="L33" s="183">
        <f t="shared" si="5"/>
        <v>179</v>
      </c>
      <c r="M33" s="183">
        <f t="shared" si="5"/>
        <v>321</v>
      </c>
      <c r="N33" s="183">
        <f t="shared" si="5"/>
        <v>0</v>
      </c>
      <c r="O33" s="183">
        <f t="shared" si="5"/>
        <v>0</v>
      </c>
      <c r="P33" s="183">
        <f t="shared" si="5"/>
        <v>0</v>
      </c>
      <c r="Q33" s="183">
        <f t="shared" si="5"/>
        <v>0</v>
      </c>
      <c r="R33" s="183">
        <f t="shared" si="5"/>
        <v>383</v>
      </c>
      <c r="S33" s="183">
        <f t="shared" si="5"/>
        <v>321</v>
      </c>
    </row>
    <row r="34" spans="1:36" x14ac:dyDescent="0.25">
      <c r="A34" s="162"/>
      <c r="B34" s="184"/>
      <c r="C34" s="519"/>
      <c r="D34" s="520"/>
      <c r="E34" s="171"/>
      <c r="F34" s="171"/>
      <c r="G34" s="171"/>
      <c r="H34" s="171"/>
      <c r="I34" s="171"/>
      <c r="J34" s="521"/>
      <c r="K34" s="521"/>
      <c r="L34" s="521"/>
      <c r="M34" s="521"/>
      <c r="N34" s="521"/>
      <c r="O34" s="521"/>
      <c r="P34" s="521"/>
      <c r="Q34" s="521"/>
      <c r="R34" s="521"/>
      <c r="S34" s="522"/>
    </row>
    <row r="35" spans="1:36" x14ac:dyDescent="0.25">
      <c r="A35" s="162">
        <v>7</v>
      </c>
      <c r="B35" s="453"/>
      <c r="C35" s="426"/>
      <c r="D35" s="300" t="s">
        <v>1319</v>
      </c>
      <c r="E35" s="453"/>
      <c r="F35" s="426"/>
      <c r="G35" s="300"/>
      <c r="H35" s="453"/>
      <c r="I35" s="426"/>
      <c r="J35" s="173" t="s">
        <v>1</v>
      </c>
      <c r="K35" s="173" t="s">
        <v>2</v>
      </c>
      <c r="L35" s="173" t="s">
        <v>1</v>
      </c>
      <c r="M35" s="173" t="s">
        <v>1</v>
      </c>
      <c r="N35" s="173" t="s">
        <v>2</v>
      </c>
      <c r="O35" s="173" t="s">
        <v>2</v>
      </c>
      <c r="P35" s="173" t="s">
        <v>2</v>
      </c>
      <c r="Q35" s="173" t="s">
        <v>2</v>
      </c>
      <c r="R35" s="672" t="s">
        <v>1290</v>
      </c>
      <c r="S35" s="673"/>
      <c r="T35" s="523"/>
      <c r="AA35" s="524">
        <f t="shared" ref="AA35:AH36" si="6">IF(J35="Yes",1,0)</f>
        <v>1</v>
      </c>
      <c r="AB35" s="524">
        <f t="shared" si="6"/>
        <v>0</v>
      </c>
      <c r="AC35" s="524">
        <f t="shared" si="6"/>
        <v>1</v>
      </c>
      <c r="AD35" s="524">
        <f t="shared" si="6"/>
        <v>1</v>
      </c>
      <c r="AE35" s="524">
        <f t="shared" si="6"/>
        <v>0</v>
      </c>
      <c r="AF35" s="524">
        <f t="shared" si="6"/>
        <v>0</v>
      </c>
      <c r="AG35" s="524">
        <f t="shared" si="6"/>
        <v>0</v>
      </c>
      <c r="AH35" s="524">
        <f t="shared" si="6"/>
        <v>0</v>
      </c>
    </row>
    <row r="36" spans="1:36" x14ac:dyDescent="0.25">
      <c r="A36" s="162">
        <v>8</v>
      </c>
      <c r="B36" s="453"/>
      <c r="C36" s="426"/>
      <c r="D36" s="300" t="s">
        <v>1320</v>
      </c>
      <c r="E36" s="453"/>
      <c r="F36" s="426"/>
      <c r="G36" s="300"/>
      <c r="H36" s="453"/>
      <c r="I36" s="426"/>
      <c r="J36" s="173" t="s">
        <v>2</v>
      </c>
      <c r="K36" s="173" t="s">
        <v>2</v>
      </c>
      <c r="L36" s="173" t="s">
        <v>2</v>
      </c>
      <c r="M36" s="173" t="s">
        <v>2</v>
      </c>
      <c r="N36" s="173" t="s">
        <v>2</v>
      </c>
      <c r="O36" s="173" t="s">
        <v>2</v>
      </c>
      <c r="P36" s="173" t="s">
        <v>2</v>
      </c>
      <c r="Q36" s="173" t="s">
        <v>2</v>
      </c>
      <c r="R36" s="672" t="s">
        <v>1290</v>
      </c>
      <c r="S36" s="673"/>
      <c r="AA36" s="524">
        <f t="shared" si="6"/>
        <v>0</v>
      </c>
      <c r="AB36" s="524">
        <f t="shared" si="6"/>
        <v>0</v>
      </c>
      <c r="AC36" s="524">
        <f t="shared" si="6"/>
        <v>0</v>
      </c>
      <c r="AD36" s="524">
        <f t="shared" si="6"/>
        <v>0</v>
      </c>
      <c r="AE36" s="524">
        <f t="shared" si="6"/>
        <v>0</v>
      </c>
      <c r="AF36" s="524">
        <f t="shared" si="6"/>
        <v>0</v>
      </c>
      <c r="AG36" s="524">
        <f t="shared" si="6"/>
        <v>0</v>
      </c>
      <c r="AH36" s="524">
        <f t="shared" si="6"/>
        <v>0</v>
      </c>
    </row>
    <row r="37" spans="1:36" x14ac:dyDescent="0.25">
      <c r="A37" s="525"/>
      <c r="B37" s="184"/>
      <c r="C37" s="519"/>
      <c r="D37" s="520"/>
      <c r="E37" s="171"/>
      <c r="F37" s="171"/>
      <c r="G37" s="171"/>
      <c r="H37" s="171"/>
      <c r="I37" s="171"/>
      <c r="J37" s="521"/>
      <c r="K37" s="521"/>
      <c r="L37" s="521"/>
      <c r="M37" s="521"/>
      <c r="N37" s="521"/>
      <c r="O37" s="521"/>
      <c r="P37" s="521"/>
      <c r="Q37" s="521"/>
      <c r="R37" s="521"/>
      <c r="S37" s="522"/>
    </row>
    <row r="38" spans="1:36" customFormat="1" ht="149.25" customHeight="1" x14ac:dyDescent="0.25">
      <c r="A38" s="526">
        <v>9</v>
      </c>
      <c r="B38" s="527"/>
      <c r="C38" s="528"/>
      <c r="D38" s="674" t="s">
        <v>1321</v>
      </c>
      <c r="E38" s="674"/>
      <c r="F38" s="674"/>
      <c r="G38" s="674"/>
      <c r="H38" s="674"/>
      <c r="I38" s="675"/>
      <c r="J38" s="661" t="s">
        <v>1322</v>
      </c>
      <c r="K38" s="662"/>
      <c r="L38" s="662"/>
      <c r="M38" s="662"/>
      <c r="N38" s="662"/>
      <c r="O38" s="662"/>
      <c r="P38" s="662"/>
      <c r="Q38" s="662"/>
      <c r="R38" s="662"/>
      <c r="S38" s="663"/>
      <c r="AJ38" s="524">
        <f>IF(OR(J38="Text box", J38=""),0,1)</f>
        <v>0</v>
      </c>
    </row>
    <row r="39" spans="1:36" customFormat="1" ht="14.25" customHeight="1" x14ac:dyDescent="0.25">
      <c r="A39" s="38"/>
      <c r="B39" s="529"/>
      <c r="C39" s="529"/>
      <c r="D39" s="530"/>
      <c r="E39" s="529"/>
      <c r="F39" s="529"/>
      <c r="G39" s="530"/>
      <c r="H39" s="529"/>
      <c r="I39" s="529"/>
      <c r="J39" s="39"/>
      <c r="K39" s="39"/>
      <c r="L39" s="39"/>
      <c r="M39" s="39"/>
      <c r="N39" s="39"/>
      <c r="O39" s="39"/>
      <c r="P39" s="39"/>
      <c r="Q39" s="39"/>
      <c r="R39" s="39"/>
      <c r="S39" s="39"/>
    </row>
    <row r="40" spans="1:36" customFormat="1" ht="14.65" customHeight="1" x14ac:dyDescent="0.25">
      <c r="A40" s="40"/>
      <c r="B40" s="531"/>
      <c r="C40" s="40"/>
      <c r="D40" s="42"/>
      <c r="E40" s="41"/>
      <c r="F40" s="41"/>
      <c r="G40" s="41"/>
      <c r="H40" s="41"/>
      <c r="I40" s="41"/>
      <c r="J40" s="532"/>
      <c r="K40" s="533"/>
      <c r="L40" s="533"/>
      <c r="M40" s="533"/>
      <c r="N40" s="533"/>
      <c r="O40" s="533"/>
      <c r="P40" s="533"/>
      <c r="Q40" s="533"/>
      <c r="R40" s="533"/>
      <c r="S40" s="533"/>
    </row>
    <row r="41" spans="1:36" customFormat="1" ht="31.35" customHeight="1" x14ac:dyDescent="0.25">
      <c r="A41" s="162">
        <v>10</v>
      </c>
      <c r="B41" s="534" t="s">
        <v>1323</v>
      </c>
      <c r="C41" s="535"/>
      <c r="D41" s="536"/>
      <c r="E41" s="536"/>
      <c r="F41" s="536"/>
      <c r="G41" s="536"/>
      <c r="H41" s="536"/>
      <c r="I41" s="536"/>
      <c r="J41" s="508"/>
      <c r="K41" s="44"/>
      <c r="L41" s="44"/>
      <c r="M41" s="44"/>
      <c r="N41" s="44"/>
      <c r="O41" s="44"/>
      <c r="P41" s="44"/>
      <c r="Q41" s="44"/>
      <c r="R41" s="44"/>
      <c r="S41" s="44"/>
    </row>
    <row r="42" spans="1:36" customFormat="1" ht="26.65" customHeight="1" x14ac:dyDescent="0.25">
      <c r="A42" s="162"/>
      <c r="B42" s="534"/>
      <c r="C42" s="537" t="s">
        <v>1324</v>
      </c>
      <c r="D42" s="536"/>
      <c r="E42" s="536"/>
      <c r="F42" s="536"/>
      <c r="G42" s="536"/>
      <c r="H42" s="536"/>
      <c r="I42" s="536"/>
      <c r="J42" s="508"/>
      <c r="K42" s="44"/>
      <c r="L42" s="44"/>
      <c r="M42" s="44"/>
      <c r="N42" s="44"/>
      <c r="O42" s="44"/>
      <c r="P42" s="44"/>
      <c r="Q42" s="44"/>
      <c r="R42" s="44"/>
      <c r="S42" s="44"/>
    </row>
    <row r="43" spans="1:36" x14ac:dyDescent="0.25">
      <c r="A43" s="162" t="s">
        <v>767</v>
      </c>
      <c r="B43" s="453"/>
      <c r="C43" s="426"/>
      <c r="D43" s="14" t="s">
        <v>1325</v>
      </c>
      <c r="E43" s="14"/>
      <c r="F43" s="14"/>
      <c r="G43" s="14"/>
      <c r="H43" s="14"/>
      <c r="I43" s="185"/>
      <c r="J43" s="538">
        <v>9.9</v>
      </c>
    </row>
    <row r="44" spans="1:36" x14ac:dyDescent="0.25">
      <c r="A44" s="162" t="s">
        <v>769</v>
      </c>
      <c r="B44" s="453"/>
      <c r="C44" s="426"/>
      <c r="D44" s="14" t="s">
        <v>1326</v>
      </c>
      <c r="E44" s="14"/>
      <c r="F44" s="14"/>
      <c r="G44" s="14"/>
      <c r="H44" s="14"/>
      <c r="I44" s="185"/>
      <c r="J44" s="538">
        <v>11.3</v>
      </c>
    </row>
    <row r="45" spans="1:36" x14ac:dyDescent="0.25">
      <c r="A45" s="38"/>
      <c r="B45" s="529"/>
      <c r="C45" s="529"/>
      <c r="D45" s="39"/>
      <c r="E45" s="39"/>
      <c r="F45" s="39"/>
      <c r="G45" s="39"/>
      <c r="H45" s="39"/>
      <c r="I45" s="39"/>
      <c r="J45" s="39"/>
      <c r="K45" s="143"/>
      <c r="L45" s="143"/>
      <c r="M45" s="143"/>
      <c r="N45" s="143"/>
      <c r="O45" s="143"/>
      <c r="P45" s="143"/>
      <c r="Q45" s="143"/>
      <c r="R45" s="143"/>
      <c r="S45" s="143"/>
    </row>
  </sheetData>
  <sheetProtection algorithmName="SHA-512" hashValue="b/dQx2vSV8LYa5l/d4MygQhiPbgU0ySd3rzsjp7x1KFeIlAff1WbdHKs9VHPM4SE3oMrxe9sPPX5F66FEkn3mw==" saltValue="q1jhIid291W2HpYEkKuSog==" spinCount="100000" sheet="1" objects="1" scenarios="1"/>
  <mergeCells count="32">
    <mergeCell ref="AA3:AB3"/>
    <mergeCell ref="AC3:AD3"/>
    <mergeCell ref="AE3:AF3"/>
    <mergeCell ref="AG3:AH3"/>
    <mergeCell ref="D38:I38"/>
    <mergeCell ref="R35:S35"/>
    <mergeCell ref="R3:S3"/>
    <mergeCell ref="R36:S36"/>
    <mergeCell ref="R6:S6"/>
    <mergeCell ref="R7:S7"/>
    <mergeCell ref="J7:K7"/>
    <mergeCell ref="J8:K8"/>
    <mergeCell ref="L3:M3"/>
    <mergeCell ref="L6:M6"/>
    <mergeCell ref="L7:M7"/>
    <mergeCell ref="L8:M8"/>
    <mergeCell ref="D3:H4"/>
    <mergeCell ref="N7:O7"/>
    <mergeCell ref="N8:O8"/>
    <mergeCell ref="J38:S38"/>
    <mergeCell ref="B1:G1"/>
    <mergeCell ref="J1:N2"/>
    <mergeCell ref="J3:K3"/>
    <mergeCell ref="J6:K6"/>
    <mergeCell ref="N3:O3"/>
    <mergeCell ref="N6:O6"/>
    <mergeCell ref="A2:E2"/>
    <mergeCell ref="P3:Q3"/>
    <mergeCell ref="P6:Q6"/>
    <mergeCell ref="P7:Q7"/>
    <mergeCell ref="P8:Q8"/>
    <mergeCell ref="R8:S8"/>
  </mergeCells>
  <dataValidations count="6">
    <dataValidation type="whole" operator="greaterThan" allowBlank="1" showInputMessage="1" showErrorMessage="1" errorTitle="Whole numbers only allowed" error="All monies should be independently rounded to the nearest £1,000." sqref="J10:Q17">
      <formula1>-99999999</formula1>
    </dataValidation>
    <dataValidation type="whole" operator="greaterThan" allowBlank="1" showInputMessage="1" showErrorMessage="1" errorTitle="Whole numbers only allowed" error="All monies should be independently rounded to the nearest £1,000." sqref="J19:Q22">
      <formula1>-99999999</formula1>
    </dataValidation>
    <dataValidation type="whole" operator="greaterThan" allowBlank="1" showInputMessage="1" showErrorMessage="1" errorTitle="Whole numbers only allowed" error="All monies should be independently rounded to the nearest £1,000." sqref="J25:Q27">
      <formula1>-99999999</formula1>
    </dataValidation>
    <dataValidation type="whole" operator="greaterThan" allowBlank="1" showInputMessage="1" showErrorMessage="1" errorTitle="Whole numbers only allowed" error="All monies should be independently rounded to the nearest £1,000." sqref="J29:Q32">
      <formula1>-99999999</formula1>
    </dataValidation>
    <dataValidation type="decimal" operator="greaterThan" allowBlank="1" showInputMessage="1" showErrorMessage="1" errorTitle="Numeric values only allowed" error="Numeric values only" sqref="J43:J44">
      <formula1>-99999999</formula1>
    </dataValidation>
    <dataValidation type="date" operator="greaterThan" allowBlank="1" showInputMessage="1" showErrorMessage="1" errorTitle="Valid date" error="Please enter a valid date." sqref="J7:Q8">
      <formula1>6576</formula1>
    </dataValidation>
  </dataValidations>
  <printOptions headings="1"/>
  <pageMargins left="0.31496062992125984" right="0.31496062992125984" top="0.74803149606299213" bottom="0.74803149606299213" header="0.31496062992125984" footer="0.31496062992125984"/>
  <pageSetup paperSize="8" scale="48" orientation="landscape" r:id="rId1"/>
  <headerFooter>
    <oddHeader>&amp;A</oddHeader>
    <oddFooter>&amp;F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'Hide_me(drop_downs)'!$A$2:$A$3</xm:f>
          </x14:formula1>
          <xm:sqref>J35:Q36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159"/>
  <sheetViews>
    <sheetView topLeftCell="A19" zoomScale="90" zoomScaleNormal="90" workbookViewId="0">
      <selection activeCell="F14" sqref="F14"/>
    </sheetView>
  </sheetViews>
  <sheetFormatPr defaultColWidth="9.28515625" defaultRowHeight="15" x14ac:dyDescent="0.25"/>
  <cols>
    <col min="1" max="1" width="12.5703125" style="44" customWidth="1"/>
    <col min="2" max="2" width="5.28515625" style="44" customWidth="1"/>
    <col min="3" max="3" width="9.28515625" style="44" customWidth="1"/>
    <col min="4" max="4" width="48.28515625" style="44" customWidth="1"/>
    <col min="5" max="5" width="26.85546875" style="44" customWidth="1"/>
    <col min="6" max="6" width="27.28515625" style="44" customWidth="1"/>
    <col min="7" max="7" width="19.140625" style="44" customWidth="1"/>
    <col min="8" max="8" width="20.28515625" style="44" customWidth="1"/>
    <col min="9" max="9" width="9.28515625" style="44" customWidth="1"/>
    <col min="10" max="16384" width="9.28515625" style="44"/>
  </cols>
  <sheetData>
    <row r="1" spans="1:8" customFormat="1" ht="15.4" customHeight="1" x14ac:dyDescent="0.25">
      <c r="A1" s="539" t="s">
        <v>1327</v>
      </c>
      <c r="B1" s="540" t="s">
        <v>1328</v>
      </c>
      <c r="C1" s="540"/>
      <c r="D1" s="540"/>
      <c r="E1" s="486"/>
      <c r="F1" s="541"/>
      <c r="G1" s="486"/>
      <c r="H1" s="541"/>
    </row>
    <row r="2" spans="1:8" customFormat="1" ht="15.4" customHeight="1" x14ac:dyDescent="0.25">
      <c r="A2" s="542"/>
      <c r="B2" s="148"/>
      <c r="C2" s="148"/>
      <c r="D2" s="148"/>
      <c r="E2" s="489"/>
      <c r="F2" s="543"/>
      <c r="G2" s="489"/>
      <c r="H2" s="543"/>
    </row>
    <row r="3" spans="1:8" customFormat="1" ht="44.25" customHeight="1" x14ac:dyDescent="0.25">
      <c r="A3" s="544"/>
      <c r="B3" s="152"/>
      <c r="C3" s="152"/>
      <c r="D3" s="152"/>
      <c r="E3" s="545" t="s">
        <v>1329</v>
      </c>
      <c r="F3" s="160" t="s">
        <v>1330</v>
      </c>
      <c r="G3" s="545" t="s">
        <v>1329</v>
      </c>
      <c r="H3" s="160" t="s">
        <v>1330</v>
      </c>
    </row>
    <row r="4" spans="1:8" customFormat="1" ht="15.4" customHeight="1" x14ac:dyDescent="0.25">
      <c r="A4" s="546"/>
      <c r="B4" s="158"/>
      <c r="C4" s="158"/>
      <c r="D4" s="158"/>
      <c r="E4" s="160" t="s">
        <v>616</v>
      </c>
      <c r="F4" s="160" t="s">
        <v>616</v>
      </c>
      <c r="G4" s="160" t="s">
        <v>616</v>
      </c>
      <c r="H4" s="160" t="s">
        <v>616</v>
      </c>
    </row>
    <row r="5" spans="1:8" x14ac:dyDescent="0.25">
      <c r="A5" s="162" t="s">
        <v>621</v>
      </c>
      <c r="B5" s="184" t="s">
        <v>1331</v>
      </c>
      <c r="C5" s="170"/>
      <c r="D5" s="171"/>
      <c r="E5" s="173">
        <v>385714</v>
      </c>
      <c r="F5" s="173">
        <v>366970</v>
      </c>
    </row>
    <row r="6" spans="1:8" x14ac:dyDescent="0.25">
      <c r="A6" s="162" t="s">
        <v>623</v>
      </c>
      <c r="B6" s="184" t="s">
        <v>1332</v>
      </c>
      <c r="C6" s="170"/>
      <c r="D6" s="171"/>
      <c r="E6" s="173">
        <v>40816</v>
      </c>
      <c r="F6" s="173">
        <v>37110</v>
      </c>
    </row>
    <row r="7" spans="1:8" x14ac:dyDescent="0.25">
      <c r="A7" s="162" t="s">
        <v>625</v>
      </c>
      <c r="B7" s="184" t="s">
        <v>1333</v>
      </c>
      <c r="C7" s="170"/>
      <c r="D7" s="171"/>
      <c r="E7" s="173">
        <v>92766</v>
      </c>
      <c r="F7" s="173">
        <v>91278</v>
      </c>
    </row>
    <row r="8" spans="1:8" x14ac:dyDescent="0.25">
      <c r="A8" s="162" t="s">
        <v>627</v>
      </c>
      <c r="B8" s="184" t="s">
        <v>1334</v>
      </c>
      <c r="C8" s="170"/>
      <c r="D8" s="171"/>
      <c r="E8" s="173">
        <v>-666</v>
      </c>
      <c r="F8" s="173">
        <v>-4799</v>
      </c>
    </row>
    <row r="9" spans="1:8" x14ac:dyDescent="0.25">
      <c r="A9" s="162" t="s">
        <v>629</v>
      </c>
      <c r="B9" s="184" t="s">
        <v>1335</v>
      </c>
      <c r="C9" s="170"/>
      <c r="D9" s="171"/>
      <c r="E9" s="173">
        <v>2743</v>
      </c>
      <c r="F9" s="173">
        <v>2005</v>
      </c>
    </row>
    <row r="10" spans="1:8" x14ac:dyDescent="0.25">
      <c r="A10" s="162" t="s">
        <v>631</v>
      </c>
      <c r="B10" s="245" t="s">
        <v>1336</v>
      </c>
      <c r="C10" s="242"/>
      <c r="D10" s="242"/>
      <c r="E10" s="183">
        <f>SUM(E5:E9)</f>
        <v>521373</v>
      </c>
      <c r="F10" s="183">
        <f>SUM(F5:F9)</f>
        <v>492564</v>
      </c>
    </row>
    <row r="11" spans="1:8" x14ac:dyDescent="0.25">
      <c r="A11" s="162"/>
      <c r="B11" s="547"/>
      <c r="C11" s="547"/>
      <c r="D11" s="547"/>
      <c r="E11" s="548"/>
      <c r="F11" s="519"/>
    </row>
    <row r="12" spans="1:8" x14ac:dyDescent="0.25">
      <c r="A12" s="162">
        <v>2</v>
      </c>
      <c r="B12" s="676" t="s">
        <v>1337</v>
      </c>
      <c r="C12" s="677"/>
      <c r="D12" s="677"/>
      <c r="E12" s="549" t="s">
        <v>1338</v>
      </c>
      <c r="F12" s="550" t="s">
        <v>1338</v>
      </c>
    </row>
    <row r="13" spans="1:8" x14ac:dyDescent="0.25">
      <c r="A13" s="162" t="s">
        <v>636</v>
      </c>
      <c r="B13" s="11" t="s">
        <v>1339</v>
      </c>
      <c r="C13" s="170"/>
      <c r="D13" s="171"/>
      <c r="E13" s="551">
        <v>10454</v>
      </c>
      <c r="F13" s="551">
        <v>9987</v>
      </c>
    </row>
    <row r="14" spans="1:8" x14ac:dyDescent="0.25">
      <c r="A14" s="162"/>
      <c r="B14" s="552"/>
      <c r="C14" s="553"/>
      <c r="D14" s="434"/>
      <c r="F14" s="42"/>
      <c r="G14" s="42"/>
      <c r="H14" s="42"/>
    </row>
    <row r="15" spans="1:8" customFormat="1" ht="38.1" customHeight="1" x14ac:dyDescent="0.25">
      <c r="A15" s="162">
        <v>3</v>
      </c>
      <c r="B15" s="296" t="s">
        <v>1340</v>
      </c>
      <c r="C15" s="554"/>
      <c r="D15" s="506"/>
      <c r="E15" s="555" t="s">
        <v>1341</v>
      </c>
      <c r="F15" s="555" t="s">
        <v>1341</v>
      </c>
      <c r="G15" s="555" t="s">
        <v>1342</v>
      </c>
      <c r="H15" s="555" t="s">
        <v>1342</v>
      </c>
    </row>
    <row r="16" spans="1:8" customFormat="1" ht="15.4" customHeight="1" x14ac:dyDescent="0.25">
      <c r="A16" s="162" t="s">
        <v>736</v>
      </c>
      <c r="B16" s="556"/>
      <c r="C16" s="246" t="s">
        <v>1343</v>
      </c>
      <c r="D16" s="242"/>
      <c r="E16" s="449">
        <f>SUM(E19:E159)</f>
        <v>0</v>
      </c>
      <c r="F16" s="449">
        <f>SUM(F19:F159)</f>
        <v>0</v>
      </c>
      <c r="G16" s="557">
        <f>SUM(G19:G159)</f>
        <v>0</v>
      </c>
      <c r="H16" s="557">
        <f>SUM(H19:H159)</f>
        <v>0</v>
      </c>
    </row>
    <row r="17" spans="1:8" x14ac:dyDescent="0.25">
      <c r="A17" s="162"/>
      <c r="B17" s="558"/>
      <c r="C17" s="559"/>
      <c r="D17" s="560"/>
      <c r="E17" s="517"/>
      <c r="F17" s="561"/>
      <c r="G17" s="517"/>
      <c r="H17" s="561"/>
    </row>
    <row r="18" spans="1:8" x14ac:dyDescent="0.25">
      <c r="A18" s="162"/>
      <c r="B18" s="562"/>
      <c r="C18" s="39" t="s">
        <v>1344</v>
      </c>
      <c r="D18" s="563"/>
      <c r="E18" s="178"/>
      <c r="F18" s="178"/>
      <c r="G18" s="178"/>
      <c r="H18" s="178"/>
    </row>
    <row r="19" spans="1:8" x14ac:dyDescent="0.25">
      <c r="A19" s="162"/>
      <c r="B19" s="564"/>
      <c r="C19" s="565"/>
      <c r="D19" s="39" t="s">
        <v>1345</v>
      </c>
      <c r="E19" s="566">
        <v>0</v>
      </c>
      <c r="F19" s="566">
        <v>0</v>
      </c>
      <c r="G19" s="567">
        <v>0</v>
      </c>
      <c r="H19" s="567">
        <v>0</v>
      </c>
    </row>
    <row r="20" spans="1:8" x14ac:dyDescent="0.25">
      <c r="A20" s="162"/>
      <c r="B20" s="564"/>
      <c r="C20" s="565"/>
      <c r="D20" s="14" t="s">
        <v>1346</v>
      </c>
      <c r="E20" s="566">
        <v>0</v>
      </c>
      <c r="F20" s="566">
        <v>0</v>
      </c>
      <c r="G20" s="567">
        <v>0</v>
      </c>
      <c r="H20" s="567">
        <v>0</v>
      </c>
    </row>
    <row r="21" spans="1:8" x14ac:dyDescent="0.25">
      <c r="A21" s="162"/>
      <c r="B21" s="564"/>
      <c r="C21" s="565"/>
      <c r="D21" s="14" t="s">
        <v>1347</v>
      </c>
      <c r="E21" s="566">
        <v>0</v>
      </c>
      <c r="F21" s="566">
        <v>0</v>
      </c>
      <c r="G21" s="567">
        <v>0</v>
      </c>
      <c r="H21" s="567">
        <v>0</v>
      </c>
    </row>
    <row r="22" spans="1:8" x14ac:dyDescent="0.25">
      <c r="A22" s="162"/>
      <c r="B22" s="564"/>
      <c r="C22" s="565"/>
      <c r="D22" s="14" t="s">
        <v>1348</v>
      </c>
      <c r="E22" s="566">
        <v>0</v>
      </c>
      <c r="F22" s="566">
        <v>0</v>
      </c>
      <c r="G22" s="567">
        <v>0</v>
      </c>
      <c r="H22" s="567">
        <v>0</v>
      </c>
    </row>
    <row r="23" spans="1:8" x14ac:dyDescent="0.25">
      <c r="A23" s="162"/>
      <c r="B23" s="564"/>
      <c r="C23" s="565"/>
      <c r="D23" s="14" t="s">
        <v>1349</v>
      </c>
      <c r="E23" s="566">
        <v>0</v>
      </c>
      <c r="F23" s="566">
        <v>0</v>
      </c>
      <c r="G23" s="567">
        <v>0</v>
      </c>
      <c r="H23" s="567">
        <v>0</v>
      </c>
    </row>
    <row r="24" spans="1:8" x14ac:dyDescent="0.25">
      <c r="A24" s="162"/>
      <c r="B24" s="564"/>
      <c r="C24" s="565"/>
      <c r="D24" s="14" t="s">
        <v>1350</v>
      </c>
      <c r="E24" s="566">
        <v>0</v>
      </c>
      <c r="F24" s="566">
        <v>0</v>
      </c>
      <c r="G24" s="567">
        <v>0</v>
      </c>
      <c r="H24" s="567">
        <v>0</v>
      </c>
    </row>
    <row r="25" spans="1:8" x14ac:dyDescent="0.25">
      <c r="A25" s="162"/>
      <c r="B25" s="564"/>
      <c r="C25" s="565"/>
      <c r="D25" s="14" t="s">
        <v>1351</v>
      </c>
      <c r="E25" s="566">
        <v>0</v>
      </c>
      <c r="F25" s="566">
        <v>0</v>
      </c>
      <c r="G25" s="567">
        <v>0</v>
      </c>
      <c r="H25" s="567">
        <v>0</v>
      </c>
    </row>
    <row r="26" spans="1:8" x14ac:dyDescent="0.25">
      <c r="A26" s="162"/>
      <c r="B26" s="564"/>
      <c r="C26" s="565"/>
      <c r="D26" s="14" t="s">
        <v>1352</v>
      </c>
      <c r="E26" s="566">
        <v>0</v>
      </c>
      <c r="F26" s="566">
        <v>0</v>
      </c>
      <c r="G26" s="567">
        <v>0</v>
      </c>
      <c r="H26" s="567">
        <v>0</v>
      </c>
    </row>
    <row r="27" spans="1:8" x14ac:dyDescent="0.25">
      <c r="A27" s="162"/>
      <c r="B27" s="564"/>
      <c r="C27" s="565"/>
      <c r="D27" s="568" t="s">
        <v>1353</v>
      </c>
      <c r="E27" s="566">
        <v>0</v>
      </c>
      <c r="F27" s="566">
        <v>0</v>
      </c>
      <c r="G27" s="567">
        <v>0</v>
      </c>
      <c r="H27" s="567">
        <v>0</v>
      </c>
    </row>
    <row r="28" spans="1:8" x14ac:dyDescent="0.25">
      <c r="A28" s="162"/>
      <c r="B28" s="564"/>
      <c r="C28" s="565"/>
      <c r="D28" s="20" t="s">
        <v>1354</v>
      </c>
      <c r="E28" s="566">
        <v>0</v>
      </c>
      <c r="F28" s="566">
        <v>0</v>
      </c>
      <c r="G28" s="567">
        <v>0</v>
      </c>
      <c r="H28" s="567">
        <v>0</v>
      </c>
    </row>
    <row r="29" spans="1:8" x14ac:dyDescent="0.25">
      <c r="A29" s="162"/>
      <c r="B29" s="564"/>
      <c r="C29" s="565"/>
      <c r="D29" s="20" t="s">
        <v>1355</v>
      </c>
      <c r="E29" s="566">
        <v>0</v>
      </c>
      <c r="F29" s="566">
        <v>0</v>
      </c>
      <c r="G29" s="567">
        <v>0</v>
      </c>
      <c r="H29" s="567">
        <v>0</v>
      </c>
    </row>
    <row r="30" spans="1:8" x14ac:dyDescent="0.25">
      <c r="A30" s="162"/>
      <c r="B30" s="564"/>
      <c r="C30" s="565"/>
      <c r="D30" s="20" t="s">
        <v>1356</v>
      </c>
      <c r="E30" s="566">
        <v>0</v>
      </c>
      <c r="F30" s="566">
        <v>0</v>
      </c>
      <c r="G30" s="567">
        <v>0</v>
      </c>
      <c r="H30" s="567">
        <v>0</v>
      </c>
    </row>
    <row r="31" spans="1:8" x14ac:dyDescent="0.25">
      <c r="A31" s="162"/>
      <c r="B31" s="564"/>
      <c r="C31" s="565"/>
      <c r="D31" s="20" t="s">
        <v>1357</v>
      </c>
      <c r="E31" s="566">
        <v>0</v>
      </c>
      <c r="F31" s="566">
        <v>0</v>
      </c>
      <c r="G31" s="567">
        <v>0</v>
      </c>
      <c r="H31" s="567">
        <v>0</v>
      </c>
    </row>
    <row r="32" spans="1:8" x14ac:dyDescent="0.25">
      <c r="A32" s="162"/>
      <c r="B32" s="564"/>
      <c r="C32" s="565"/>
      <c r="D32" s="20" t="s">
        <v>1358</v>
      </c>
      <c r="E32" s="566">
        <v>0</v>
      </c>
      <c r="F32" s="566">
        <v>0</v>
      </c>
      <c r="G32" s="567">
        <v>0</v>
      </c>
      <c r="H32" s="567">
        <v>0</v>
      </c>
    </row>
    <row r="33" spans="1:8" x14ac:dyDescent="0.25">
      <c r="A33" s="162"/>
      <c r="B33" s="564"/>
      <c r="C33" s="565"/>
      <c r="D33" s="20" t="s">
        <v>1359</v>
      </c>
      <c r="E33" s="566">
        <v>0</v>
      </c>
      <c r="F33" s="566">
        <v>0</v>
      </c>
      <c r="G33" s="567">
        <v>0</v>
      </c>
      <c r="H33" s="567">
        <v>0</v>
      </c>
    </row>
    <row r="34" spans="1:8" x14ac:dyDescent="0.25">
      <c r="A34" s="162"/>
      <c r="B34" s="564"/>
      <c r="C34" s="565"/>
      <c r="D34" s="20" t="s">
        <v>1360</v>
      </c>
      <c r="E34" s="566">
        <v>0</v>
      </c>
      <c r="F34" s="566">
        <v>0</v>
      </c>
      <c r="G34" s="567">
        <v>0</v>
      </c>
      <c r="H34" s="567">
        <v>0</v>
      </c>
    </row>
    <row r="35" spans="1:8" x14ac:dyDescent="0.25">
      <c r="A35" s="162"/>
      <c r="B35" s="564"/>
      <c r="C35" s="565"/>
      <c r="D35" s="20" t="s">
        <v>1361</v>
      </c>
      <c r="E35" s="566">
        <v>0</v>
      </c>
      <c r="F35" s="566">
        <v>0</v>
      </c>
      <c r="G35" s="567">
        <v>0</v>
      </c>
      <c r="H35" s="567">
        <v>0</v>
      </c>
    </row>
    <row r="36" spans="1:8" x14ac:dyDescent="0.25">
      <c r="A36" s="162"/>
      <c r="B36" s="564"/>
      <c r="C36" s="565"/>
      <c r="D36" s="20" t="s">
        <v>1362</v>
      </c>
      <c r="E36" s="566">
        <v>0</v>
      </c>
      <c r="F36" s="566">
        <v>0</v>
      </c>
      <c r="G36" s="567">
        <v>0</v>
      </c>
      <c r="H36" s="567">
        <v>0</v>
      </c>
    </row>
    <row r="37" spans="1:8" x14ac:dyDescent="0.25">
      <c r="A37" s="162"/>
      <c r="B37" s="564"/>
      <c r="C37" s="565"/>
      <c r="D37" s="20" t="s">
        <v>1363</v>
      </c>
      <c r="E37" s="566">
        <v>0</v>
      </c>
      <c r="F37" s="566">
        <v>0</v>
      </c>
      <c r="G37" s="567">
        <v>0</v>
      </c>
      <c r="H37" s="567">
        <v>0</v>
      </c>
    </row>
    <row r="38" spans="1:8" x14ac:dyDescent="0.25">
      <c r="A38" s="162"/>
      <c r="B38" s="564"/>
      <c r="C38" s="565"/>
      <c r="D38" s="20" t="s">
        <v>1364</v>
      </c>
      <c r="E38" s="566">
        <v>0</v>
      </c>
      <c r="F38" s="566">
        <v>0</v>
      </c>
      <c r="G38" s="567">
        <v>0</v>
      </c>
      <c r="H38" s="567">
        <v>0</v>
      </c>
    </row>
    <row r="39" spans="1:8" x14ac:dyDescent="0.25">
      <c r="A39" s="162"/>
      <c r="B39" s="564"/>
      <c r="C39" s="565"/>
      <c r="D39" s="20" t="s">
        <v>1365</v>
      </c>
      <c r="E39" s="566">
        <v>0</v>
      </c>
      <c r="F39" s="566">
        <v>0</v>
      </c>
      <c r="G39" s="567">
        <v>0</v>
      </c>
      <c r="H39" s="567">
        <v>0</v>
      </c>
    </row>
    <row r="40" spans="1:8" x14ac:dyDescent="0.25">
      <c r="A40" s="162"/>
      <c r="B40" s="564"/>
      <c r="C40" s="565"/>
      <c r="D40" s="20" t="s">
        <v>1366</v>
      </c>
      <c r="E40" s="566">
        <v>0</v>
      </c>
      <c r="F40" s="566">
        <v>0</v>
      </c>
      <c r="G40" s="567">
        <v>0</v>
      </c>
      <c r="H40" s="567">
        <v>0</v>
      </c>
    </row>
    <row r="41" spans="1:8" x14ac:dyDescent="0.25">
      <c r="A41" s="162"/>
      <c r="B41" s="564"/>
      <c r="C41" s="565"/>
      <c r="D41" s="20" t="s">
        <v>1367</v>
      </c>
      <c r="E41" s="566">
        <v>0</v>
      </c>
      <c r="F41" s="566">
        <v>0</v>
      </c>
      <c r="G41" s="567">
        <v>0</v>
      </c>
      <c r="H41" s="567">
        <v>0</v>
      </c>
    </row>
    <row r="42" spans="1:8" x14ac:dyDescent="0.25">
      <c r="A42" s="162"/>
      <c r="B42" s="564"/>
      <c r="C42" s="565"/>
      <c r="D42" s="20" t="s">
        <v>1368</v>
      </c>
      <c r="E42" s="566">
        <v>0</v>
      </c>
      <c r="F42" s="566">
        <v>0</v>
      </c>
      <c r="G42" s="567">
        <v>0</v>
      </c>
      <c r="H42" s="567">
        <v>0</v>
      </c>
    </row>
    <row r="43" spans="1:8" x14ac:dyDescent="0.25">
      <c r="A43" s="162"/>
      <c r="B43" s="564"/>
      <c r="C43" s="565"/>
      <c r="D43" s="20" t="s">
        <v>1369</v>
      </c>
      <c r="E43" s="566">
        <v>0</v>
      </c>
      <c r="F43" s="566">
        <v>0</v>
      </c>
      <c r="G43" s="567">
        <v>0</v>
      </c>
      <c r="H43" s="567">
        <v>0</v>
      </c>
    </row>
    <row r="44" spans="1:8" x14ac:dyDescent="0.25">
      <c r="A44" s="162"/>
      <c r="B44" s="564"/>
      <c r="C44" s="565"/>
      <c r="D44" s="20" t="s">
        <v>1370</v>
      </c>
      <c r="E44" s="566">
        <v>0</v>
      </c>
      <c r="F44" s="566">
        <v>0</v>
      </c>
      <c r="G44" s="567">
        <v>0</v>
      </c>
      <c r="H44" s="567">
        <v>0</v>
      </c>
    </row>
    <row r="45" spans="1:8" x14ac:dyDescent="0.25">
      <c r="A45" s="162"/>
      <c r="B45" s="564"/>
      <c r="C45" s="565"/>
      <c r="D45" s="20" t="s">
        <v>1371</v>
      </c>
      <c r="E45" s="566">
        <v>0</v>
      </c>
      <c r="F45" s="566">
        <v>0</v>
      </c>
      <c r="G45" s="567">
        <v>0</v>
      </c>
      <c r="H45" s="567">
        <v>0</v>
      </c>
    </row>
    <row r="46" spans="1:8" x14ac:dyDescent="0.25">
      <c r="A46" s="162"/>
      <c r="B46" s="564"/>
      <c r="C46" s="565"/>
      <c r="D46" s="20" t="s">
        <v>1372</v>
      </c>
      <c r="E46" s="566">
        <v>0</v>
      </c>
      <c r="F46" s="566">
        <v>0</v>
      </c>
      <c r="G46" s="567">
        <v>0</v>
      </c>
      <c r="H46" s="567">
        <v>0</v>
      </c>
    </row>
    <row r="47" spans="1:8" x14ac:dyDescent="0.25">
      <c r="A47" s="162"/>
      <c r="B47" s="564"/>
      <c r="C47" s="565"/>
      <c r="D47" s="20" t="s">
        <v>1373</v>
      </c>
      <c r="E47" s="566">
        <v>0</v>
      </c>
      <c r="F47" s="566">
        <v>0</v>
      </c>
      <c r="G47" s="567">
        <v>0</v>
      </c>
      <c r="H47" s="567">
        <v>0</v>
      </c>
    </row>
    <row r="48" spans="1:8" x14ac:dyDescent="0.25">
      <c r="A48" s="162"/>
      <c r="B48" s="564"/>
      <c r="C48" s="565"/>
      <c r="D48" s="20" t="s">
        <v>1374</v>
      </c>
      <c r="E48" s="566">
        <v>0</v>
      </c>
      <c r="F48" s="566">
        <v>0</v>
      </c>
      <c r="G48" s="567">
        <v>0</v>
      </c>
      <c r="H48" s="567">
        <v>0</v>
      </c>
    </row>
    <row r="49" spans="1:8" x14ac:dyDescent="0.25">
      <c r="A49" s="162"/>
      <c r="B49" s="564"/>
      <c r="C49" s="565"/>
      <c r="D49" s="20" t="s">
        <v>1375</v>
      </c>
      <c r="E49" s="566">
        <v>0</v>
      </c>
      <c r="F49" s="566">
        <v>0</v>
      </c>
      <c r="G49" s="567">
        <v>0</v>
      </c>
      <c r="H49" s="567">
        <v>0</v>
      </c>
    </row>
    <row r="50" spans="1:8" x14ac:dyDescent="0.25">
      <c r="A50" s="162"/>
      <c r="B50" s="564"/>
      <c r="C50" s="565"/>
      <c r="D50" s="20" t="s">
        <v>1376</v>
      </c>
      <c r="E50" s="566">
        <v>0</v>
      </c>
      <c r="F50" s="566">
        <v>0</v>
      </c>
      <c r="G50" s="567">
        <v>0</v>
      </c>
      <c r="H50" s="567">
        <v>0</v>
      </c>
    </row>
    <row r="51" spans="1:8" x14ac:dyDescent="0.25">
      <c r="A51" s="162"/>
      <c r="B51" s="564"/>
      <c r="C51" s="565"/>
      <c r="D51" s="20" t="s">
        <v>1377</v>
      </c>
      <c r="E51" s="566">
        <v>0</v>
      </c>
      <c r="F51" s="566">
        <v>0</v>
      </c>
      <c r="G51" s="567">
        <v>0</v>
      </c>
      <c r="H51" s="567">
        <v>0</v>
      </c>
    </row>
    <row r="52" spans="1:8" x14ac:dyDescent="0.25">
      <c r="A52" s="162"/>
      <c r="B52" s="564"/>
      <c r="C52" s="565"/>
      <c r="D52" s="20" t="s">
        <v>1378</v>
      </c>
      <c r="E52" s="566">
        <v>0</v>
      </c>
      <c r="F52" s="566">
        <v>0</v>
      </c>
      <c r="G52" s="567">
        <v>0</v>
      </c>
      <c r="H52" s="567">
        <v>0</v>
      </c>
    </row>
    <row r="53" spans="1:8" x14ac:dyDescent="0.25">
      <c r="A53" s="162"/>
      <c r="B53" s="564"/>
      <c r="C53" s="565"/>
      <c r="D53" s="20" t="s">
        <v>1379</v>
      </c>
      <c r="E53" s="566">
        <v>0</v>
      </c>
      <c r="F53" s="566">
        <v>0</v>
      </c>
      <c r="G53" s="567">
        <v>0</v>
      </c>
      <c r="H53" s="567">
        <v>0</v>
      </c>
    </row>
    <row r="54" spans="1:8" x14ac:dyDescent="0.25">
      <c r="A54" s="162"/>
      <c r="B54" s="564"/>
      <c r="C54" s="565"/>
      <c r="D54" s="20" t="s">
        <v>1380</v>
      </c>
      <c r="E54" s="566">
        <v>0</v>
      </c>
      <c r="F54" s="566">
        <v>0</v>
      </c>
      <c r="G54" s="567">
        <v>0</v>
      </c>
      <c r="H54" s="567">
        <v>0</v>
      </c>
    </row>
    <row r="55" spans="1:8" x14ac:dyDescent="0.25">
      <c r="A55" s="162"/>
      <c r="B55" s="564"/>
      <c r="C55" s="565"/>
      <c r="D55" s="20" t="s">
        <v>1381</v>
      </c>
      <c r="E55" s="566">
        <v>0</v>
      </c>
      <c r="F55" s="566">
        <v>0</v>
      </c>
      <c r="G55" s="567">
        <v>0</v>
      </c>
      <c r="H55" s="567">
        <v>0</v>
      </c>
    </row>
    <row r="56" spans="1:8" x14ac:dyDescent="0.25">
      <c r="A56" s="162"/>
      <c r="B56" s="564"/>
      <c r="C56" s="565"/>
      <c r="D56" s="20" t="s">
        <v>1382</v>
      </c>
      <c r="E56" s="566">
        <v>0</v>
      </c>
      <c r="F56" s="566">
        <v>0</v>
      </c>
      <c r="G56" s="567">
        <v>0</v>
      </c>
      <c r="H56" s="567">
        <v>0</v>
      </c>
    </row>
    <row r="57" spans="1:8" x14ac:dyDescent="0.25">
      <c r="A57" s="162"/>
      <c r="B57" s="564"/>
      <c r="C57" s="565"/>
      <c r="D57" s="20" t="s">
        <v>1383</v>
      </c>
      <c r="E57" s="566">
        <v>0</v>
      </c>
      <c r="F57" s="566">
        <v>0</v>
      </c>
      <c r="G57" s="567">
        <v>0</v>
      </c>
      <c r="H57" s="567">
        <v>0</v>
      </c>
    </row>
    <row r="58" spans="1:8" x14ac:dyDescent="0.25">
      <c r="A58" s="162"/>
      <c r="B58" s="564"/>
      <c r="C58" s="565"/>
      <c r="D58" s="20" t="s">
        <v>1384</v>
      </c>
      <c r="E58" s="566">
        <v>0</v>
      </c>
      <c r="F58" s="566">
        <v>0</v>
      </c>
      <c r="G58" s="567">
        <v>0</v>
      </c>
      <c r="H58" s="567">
        <v>0</v>
      </c>
    </row>
    <row r="59" spans="1:8" x14ac:dyDescent="0.25">
      <c r="A59" s="162"/>
      <c r="B59" s="564"/>
      <c r="C59" s="565"/>
      <c r="D59" s="20" t="s">
        <v>1385</v>
      </c>
      <c r="E59" s="566">
        <v>0</v>
      </c>
      <c r="F59" s="566">
        <v>0</v>
      </c>
      <c r="G59" s="567">
        <v>0</v>
      </c>
      <c r="H59" s="567">
        <v>0</v>
      </c>
    </row>
    <row r="60" spans="1:8" x14ac:dyDescent="0.25">
      <c r="A60" s="162"/>
      <c r="B60" s="564"/>
      <c r="C60" s="565"/>
      <c r="D60" s="20" t="s">
        <v>1386</v>
      </c>
      <c r="E60" s="566">
        <v>0</v>
      </c>
      <c r="F60" s="566">
        <v>0</v>
      </c>
      <c r="G60" s="567">
        <v>0</v>
      </c>
      <c r="H60" s="567">
        <v>0</v>
      </c>
    </row>
    <row r="61" spans="1:8" x14ac:dyDescent="0.25">
      <c r="A61" s="162"/>
      <c r="B61" s="564"/>
      <c r="C61" s="565"/>
      <c r="D61" s="20" t="s">
        <v>1387</v>
      </c>
      <c r="E61" s="566">
        <v>0</v>
      </c>
      <c r="F61" s="566">
        <v>0</v>
      </c>
      <c r="G61" s="567">
        <v>0</v>
      </c>
      <c r="H61" s="567">
        <v>0</v>
      </c>
    </row>
    <row r="62" spans="1:8" x14ac:dyDescent="0.25">
      <c r="A62" s="162"/>
      <c r="B62" s="564"/>
      <c r="C62" s="565"/>
      <c r="D62" s="20" t="s">
        <v>1388</v>
      </c>
      <c r="E62" s="566">
        <v>0</v>
      </c>
      <c r="F62" s="566">
        <v>0</v>
      </c>
      <c r="G62" s="567">
        <v>0</v>
      </c>
      <c r="H62" s="567">
        <v>0</v>
      </c>
    </row>
    <row r="63" spans="1:8" x14ac:dyDescent="0.25">
      <c r="A63" s="162"/>
      <c r="B63" s="564"/>
      <c r="C63" s="565"/>
      <c r="D63" s="20" t="s">
        <v>1389</v>
      </c>
      <c r="E63" s="566">
        <v>0</v>
      </c>
      <c r="F63" s="566">
        <v>0</v>
      </c>
      <c r="G63" s="567">
        <v>0</v>
      </c>
      <c r="H63" s="567">
        <v>0</v>
      </c>
    </row>
    <row r="64" spans="1:8" x14ac:dyDescent="0.25">
      <c r="A64" s="162"/>
      <c r="B64" s="564"/>
      <c r="C64" s="565"/>
      <c r="D64" s="20" t="s">
        <v>1390</v>
      </c>
      <c r="E64" s="566">
        <v>0</v>
      </c>
      <c r="F64" s="566">
        <v>0</v>
      </c>
      <c r="G64" s="567">
        <v>0</v>
      </c>
      <c r="H64" s="567">
        <v>0</v>
      </c>
    </row>
    <row r="65" spans="1:8" x14ac:dyDescent="0.25">
      <c r="A65" s="162"/>
      <c r="B65" s="564"/>
      <c r="C65" s="565"/>
      <c r="D65" s="20" t="s">
        <v>1391</v>
      </c>
      <c r="E65" s="566">
        <v>0</v>
      </c>
      <c r="F65" s="566">
        <v>0</v>
      </c>
      <c r="G65" s="567">
        <v>0</v>
      </c>
      <c r="H65" s="567">
        <v>0</v>
      </c>
    </row>
    <row r="66" spans="1:8" x14ac:dyDescent="0.25">
      <c r="A66" s="162"/>
      <c r="B66" s="564"/>
      <c r="C66" s="565"/>
      <c r="D66" s="20" t="s">
        <v>1392</v>
      </c>
      <c r="E66" s="566">
        <v>0</v>
      </c>
      <c r="F66" s="566">
        <v>0</v>
      </c>
      <c r="G66" s="567">
        <v>0</v>
      </c>
      <c r="H66" s="567">
        <v>0</v>
      </c>
    </row>
    <row r="67" spans="1:8" x14ac:dyDescent="0.25">
      <c r="A67" s="162"/>
      <c r="B67" s="564"/>
      <c r="C67" s="565"/>
      <c r="D67" s="20" t="s">
        <v>1393</v>
      </c>
      <c r="E67" s="566">
        <v>0</v>
      </c>
      <c r="F67" s="566">
        <v>0</v>
      </c>
      <c r="G67" s="567">
        <v>0</v>
      </c>
      <c r="H67" s="567">
        <v>0</v>
      </c>
    </row>
    <row r="68" spans="1:8" x14ac:dyDescent="0.25">
      <c r="A68" s="162"/>
      <c r="B68" s="564"/>
      <c r="C68" s="565"/>
      <c r="D68" s="20" t="s">
        <v>1394</v>
      </c>
      <c r="E68" s="566">
        <v>0</v>
      </c>
      <c r="F68" s="566">
        <v>0</v>
      </c>
      <c r="G68" s="567">
        <v>0</v>
      </c>
      <c r="H68" s="567">
        <v>0</v>
      </c>
    </row>
    <row r="69" spans="1:8" x14ac:dyDescent="0.25">
      <c r="A69" s="162"/>
      <c r="B69" s="564"/>
      <c r="C69" s="565"/>
      <c r="D69" s="20" t="s">
        <v>1395</v>
      </c>
      <c r="E69" s="566">
        <v>0</v>
      </c>
      <c r="F69" s="566">
        <v>0</v>
      </c>
      <c r="G69" s="567">
        <v>0</v>
      </c>
      <c r="H69" s="567">
        <v>0</v>
      </c>
    </row>
    <row r="70" spans="1:8" x14ac:dyDescent="0.25">
      <c r="A70" s="162"/>
      <c r="B70" s="564"/>
      <c r="C70" s="565"/>
      <c r="D70" s="20" t="s">
        <v>1396</v>
      </c>
      <c r="E70" s="566">
        <v>0</v>
      </c>
      <c r="F70" s="566">
        <v>0</v>
      </c>
      <c r="G70" s="567">
        <v>0</v>
      </c>
      <c r="H70" s="567">
        <v>0</v>
      </c>
    </row>
    <row r="71" spans="1:8" x14ac:dyDescent="0.25">
      <c r="A71" s="162"/>
      <c r="B71" s="564"/>
      <c r="C71" s="565"/>
      <c r="D71" s="20" t="s">
        <v>1397</v>
      </c>
      <c r="E71" s="566">
        <v>0</v>
      </c>
      <c r="F71" s="566">
        <v>0</v>
      </c>
      <c r="G71" s="567">
        <v>0</v>
      </c>
      <c r="H71" s="567">
        <v>0</v>
      </c>
    </row>
    <row r="72" spans="1:8" x14ac:dyDescent="0.25">
      <c r="A72" s="162"/>
      <c r="B72" s="564"/>
      <c r="C72" s="565"/>
      <c r="D72" s="20" t="s">
        <v>1398</v>
      </c>
      <c r="E72" s="566">
        <v>0</v>
      </c>
      <c r="F72" s="566">
        <v>0</v>
      </c>
      <c r="G72" s="567">
        <v>0</v>
      </c>
      <c r="H72" s="567">
        <v>0</v>
      </c>
    </row>
    <row r="73" spans="1:8" x14ac:dyDescent="0.25">
      <c r="A73" s="162"/>
      <c r="B73" s="564"/>
      <c r="C73" s="565"/>
      <c r="D73" s="20" t="s">
        <v>1399</v>
      </c>
      <c r="E73" s="566">
        <v>0</v>
      </c>
      <c r="F73" s="566">
        <v>0</v>
      </c>
      <c r="G73" s="567">
        <v>0</v>
      </c>
      <c r="H73" s="567">
        <v>0</v>
      </c>
    </row>
    <row r="74" spans="1:8" x14ac:dyDescent="0.25">
      <c r="A74" s="162"/>
      <c r="B74" s="564"/>
      <c r="C74" s="565"/>
      <c r="D74" s="20" t="s">
        <v>1400</v>
      </c>
      <c r="E74" s="566">
        <v>0</v>
      </c>
      <c r="F74" s="566">
        <v>0</v>
      </c>
      <c r="G74" s="567">
        <v>0</v>
      </c>
      <c r="H74" s="567">
        <v>0</v>
      </c>
    </row>
    <row r="75" spans="1:8" x14ac:dyDescent="0.25">
      <c r="A75" s="162"/>
      <c r="B75" s="564"/>
      <c r="C75" s="565"/>
      <c r="D75" s="20" t="s">
        <v>1401</v>
      </c>
      <c r="E75" s="566">
        <v>0</v>
      </c>
      <c r="F75" s="566">
        <v>0</v>
      </c>
      <c r="G75" s="567">
        <v>0</v>
      </c>
      <c r="H75" s="567">
        <v>0</v>
      </c>
    </row>
    <row r="76" spans="1:8" x14ac:dyDescent="0.25">
      <c r="A76" s="162"/>
      <c r="B76" s="564"/>
      <c r="C76" s="565"/>
      <c r="D76" s="20" t="s">
        <v>1402</v>
      </c>
      <c r="E76" s="566">
        <v>0</v>
      </c>
      <c r="F76" s="566">
        <v>0</v>
      </c>
      <c r="G76" s="567">
        <v>0</v>
      </c>
      <c r="H76" s="567">
        <v>0</v>
      </c>
    </row>
    <row r="77" spans="1:8" x14ac:dyDescent="0.25">
      <c r="A77" s="162"/>
      <c r="B77" s="564"/>
      <c r="C77" s="565"/>
      <c r="D77" s="20" t="s">
        <v>1403</v>
      </c>
      <c r="E77" s="566">
        <v>0</v>
      </c>
      <c r="F77" s="566">
        <v>0</v>
      </c>
      <c r="G77" s="567">
        <v>0</v>
      </c>
      <c r="H77" s="567">
        <v>0</v>
      </c>
    </row>
    <row r="78" spans="1:8" x14ac:dyDescent="0.25">
      <c r="A78" s="162"/>
      <c r="B78" s="564"/>
      <c r="C78" s="565"/>
      <c r="D78" s="20" t="s">
        <v>1404</v>
      </c>
      <c r="E78" s="566">
        <v>0</v>
      </c>
      <c r="F78" s="566">
        <v>0</v>
      </c>
      <c r="G78" s="567">
        <v>0</v>
      </c>
      <c r="H78" s="567">
        <v>0</v>
      </c>
    </row>
    <row r="79" spans="1:8" x14ac:dyDescent="0.25">
      <c r="A79" s="162"/>
      <c r="B79" s="564"/>
      <c r="C79" s="565"/>
      <c r="D79" s="20" t="s">
        <v>1405</v>
      </c>
      <c r="E79" s="566">
        <v>0</v>
      </c>
      <c r="F79" s="566">
        <v>0</v>
      </c>
      <c r="G79" s="567">
        <v>0</v>
      </c>
      <c r="H79" s="567">
        <v>0</v>
      </c>
    </row>
    <row r="80" spans="1:8" x14ac:dyDescent="0.25">
      <c r="A80" s="162"/>
      <c r="B80" s="564"/>
      <c r="C80" s="565"/>
      <c r="D80" s="20" t="s">
        <v>1406</v>
      </c>
      <c r="E80" s="566">
        <v>0</v>
      </c>
      <c r="F80" s="566">
        <v>0</v>
      </c>
      <c r="G80" s="567">
        <v>0</v>
      </c>
      <c r="H80" s="567">
        <v>0</v>
      </c>
    </row>
    <row r="81" spans="1:8" x14ac:dyDescent="0.25">
      <c r="A81" s="162"/>
      <c r="B81" s="564"/>
      <c r="C81" s="565"/>
      <c r="D81" s="20" t="s">
        <v>1407</v>
      </c>
      <c r="E81" s="566">
        <v>0</v>
      </c>
      <c r="F81" s="566">
        <v>0</v>
      </c>
      <c r="G81" s="567">
        <v>0</v>
      </c>
      <c r="H81" s="567">
        <v>0</v>
      </c>
    </row>
    <row r="82" spans="1:8" x14ac:dyDescent="0.25">
      <c r="A82" s="162"/>
      <c r="B82" s="564"/>
      <c r="C82" s="565"/>
      <c r="D82" s="20" t="s">
        <v>1408</v>
      </c>
      <c r="E82" s="566">
        <v>0</v>
      </c>
      <c r="F82" s="566">
        <v>0</v>
      </c>
      <c r="G82" s="567">
        <v>0</v>
      </c>
      <c r="H82" s="567">
        <v>0</v>
      </c>
    </row>
    <row r="83" spans="1:8" x14ac:dyDescent="0.25">
      <c r="A83" s="162"/>
      <c r="B83" s="564"/>
      <c r="C83" s="565"/>
      <c r="D83" s="20" t="s">
        <v>1409</v>
      </c>
      <c r="E83" s="566">
        <v>0</v>
      </c>
      <c r="F83" s="566">
        <v>0</v>
      </c>
      <c r="G83" s="567">
        <v>0</v>
      </c>
      <c r="H83" s="567">
        <v>0</v>
      </c>
    </row>
    <row r="84" spans="1:8" x14ac:dyDescent="0.25">
      <c r="A84" s="162"/>
      <c r="B84" s="564"/>
      <c r="C84" s="565"/>
      <c r="D84" s="20" t="s">
        <v>1410</v>
      </c>
      <c r="E84" s="566">
        <v>0</v>
      </c>
      <c r="F84" s="566">
        <v>0</v>
      </c>
      <c r="G84" s="567">
        <v>0</v>
      </c>
      <c r="H84" s="567">
        <v>0</v>
      </c>
    </row>
    <row r="85" spans="1:8" x14ac:dyDescent="0.25">
      <c r="A85" s="162"/>
      <c r="B85" s="564"/>
      <c r="C85" s="565"/>
      <c r="D85" s="20" t="s">
        <v>1411</v>
      </c>
      <c r="E85" s="566">
        <v>0</v>
      </c>
      <c r="F85" s="566">
        <v>0</v>
      </c>
      <c r="G85" s="567">
        <v>0</v>
      </c>
      <c r="H85" s="567">
        <v>0</v>
      </c>
    </row>
    <row r="86" spans="1:8" x14ac:dyDescent="0.25">
      <c r="A86" s="162"/>
      <c r="B86" s="564"/>
      <c r="C86" s="565"/>
      <c r="D86" s="20" t="s">
        <v>1412</v>
      </c>
      <c r="E86" s="566">
        <v>0</v>
      </c>
      <c r="F86" s="566">
        <v>0</v>
      </c>
      <c r="G86" s="567">
        <v>0</v>
      </c>
      <c r="H86" s="567">
        <v>0</v>
      </c>
    </row>
    <row r="87" spans="1:8" x14ac:dyDescent="0.25">
      <c r="A87" s="162"/>
      <c r="B87" s="564"/>
      <c r="C87" s="565"/>
      <c r="D87" s="20" t="s">
        <v>1413</v>
      </c>
      <c r="E87" s="566">
        <v>0</v>
      </c>
      <c r="F87" s="566">
        <v>0</v>
      </c>
      <c r="G87" s="567">
        <v>0</v>
      </c>
      <c r="H87" s="567">
        <v>0</v>
      </c>
    </row>
    <row r="88" spans="1:8" x14ac:dyDescent="0.25">
      <c r="A88" s="162"/>
      <c r="B88" s="564"/>
      <c r="C88" s="565"/>
      <c r="D88" s="20" t="s">
        <v>1414</v>
      </c>
      <c r="E88" s="566">
        <v>0</v>
      </c>
      <c r="F88" s="566">
        <v>0</v>
      </c>
      <c r="G88" s="567">
        <v>0</v>
      </c>
      <c r="H88" s="567">
        <v>0</v>
      </c>
    </row>
    <row r="89" spans="1:8" x14ac:dyDescent="0.25">
      <c r="A89" s="162"/>
      <c r="B89" s="564"/>
      <c r="C89" s="565"/>
      <c r="D89" s="20" t="s">
        <v>1415</v>
      </c>
      <c r="E89" s="566">
        <v>0</v>
      </c>
      <c r="F89" s="566">
        <v>0</v>
      </c>
      <c r="G89" s="567">
        <v>0</v>
      </c>
      <c r="H89" s="567">
        <v>0</v>
      </c>
    </row>
    <row r="90" spans="1:8" x14ac:dyDescent="0.25">
      <c r="A90" s="162"/>
      <c r="B90" s="564"/>
      <c r="C90" s="565"/>
      <c r="D90" s="20" t="s">
        <v>1416</v>
      </c>
      <c r="E90" s="566">
        <v>0</v>
      </c>
      <c r="F90" s="566">
        <v>0</v>
      </c>
      <c r="G90" s="567">
        <v>0</v>
      </c>
      <c r="H90" s="567">
        <v>0</v>
      </c>
    </row>
    <row r="91" spans="1:8" x14ac:dyDescent="0.25">
      <c r="A91" s="162"/>
      <c r="B91" s="564"/>
      <c r="C91" s="565"/>
      <c r="D91" s="20" t="s">
        <v>1417</v>
      </c>
      <c r="E91" s="566">
        <v>0</v>
      </c>
      <c r="F91" s="566">
        <v>0</v>
      </c>
      <c r="G91" s="567">
        <v>0</v>
      </c>
      <c r="H91" s="567">
        <v>0</v>
      </c>
    </row>
    <row r="92" spans="1:8" x14ac:dyDescent="0.25">
      <c r="A92" s="162"/>
      <c r="B92" s="564"/>
      <c r="C92" s="565"/>
      <c r="D92" s="20" t="s">
        <v>1418</v>
      </c>
      <c r="E92" s="566">
        <v>0</v>
      </c>
      <c r="F92" s="566">
        <v>0</v>
      </c>
      <c r="G92" s="567">
        <v>0</v>
      </c>
      <c r="H92" s="567">
        <v>0</v>
      </c>
    </row>
    <row r="93" spans="1:8" x14ac:dyDescent="0.25">
      <c r="A93" s="162"/>
      <c r="B93" s="564"/>
      <c r="C93" s="565"/>
      <c r="D93" s="20" t="s">
        <v>1419</v>
      </c>
      <c r="E93" s="566">
        <v>0</v>
      </c>
      <c r="F93" s="566">
        <v>0</v>
      </c>
      <c r="G93" s="567">
        <v>0</v>
      </c>
      <c r="H93" s="567">
        <v>0</v>
      </c>
    </row>
    <row r="94" spans="1:8" x14ac:dyDescent="0.25">
      <c r="A94" s="162"/>
      <c r="B94" s="564"/>
      <c r="C94" s="565"/>
      <c r="D94" s="20" t="s">
        <v>1420</v>
      </c>
      <c r="E94" s="566">
        <v>0</v>
      </c>
      <c r="F94" s="566">
        <v>0</v>
      </c>
      <c r="G94" s="567">
        <v>0</v>
      </c>
      <c r="H94" s="567">
        <v>0</v>
      </c>
    </row>
    <row r="95" spans="1:8" x14ac:dyDescent="0.25">
      <c r="A95" s="162"/>
      <c r="B95" s="564"/>
      <c r="C95" s="565"/>
      <c r="D95" s="20" t="s">
        <v>1421</v>
      </c>
      <c r="E95" s="566">
        <v>0</v>
      </c>
      <c r="F95" s="566">
        <v>0</v>
      </c>
      <c r="G95" s="567">
        <v>0</v>
      </c>
      <c r="H95" s="567">
        <v>0</v>
      </c>
    </row>
    <row r="96" spans="1:8" x14ac:dyDescent="0.25">
      <c r="A96" s="162"/>
      <c r="B96" s="564"/>
      <c r="C96" s="565"/>
      <c r="D96" s="20" t="s">
        <v>1422</v>
      </c>
      <c r="E96" s="566">
        <v>0</v>
      </c>
      <c r="F96" s="566">
        <v>0</v>
      </c>
      <c r="G96" s="567">
        <v>0</v>
      </c>
      <c r="H96" s="567">
        <v>0</v>
      </c>
    </row>
    <row r="97" spans="1:8" x14ac:dyDescent="0.25">
      <c r="A97" s="162"/>
      <c r="B97" s="564"/>
      <c r="C97" s="565"/>
      <c r="D97" s="20" t="s">
        <v>1423</v>
      </c>
      <c r="E97" s="566">
        <v>0</v>
      </c>
      <c r="F97" s="566">
        <v>0</v>
      </c>
      <c r="G97" s="567">
        <v>0</v>
      </c>
      <c r="H97" s="567">
        <v>0</v>
      </c>
    </row>
    <row r="98" spans="1:8" x14ac:dyDescent="0.25">
      <c r="A98" s="162"/>
      <c r="B98" s="564"/>
      <c r="C98" s="565"/>
      <c r="D98" s="20" t="s">
        <v>1424</v>
      </c>
      <c r="E98" s="566">
        <v>0</v>
      </c>
      <c r="F98" s="566">
        <v>0</v>
      </c>
      <c r="G98" s="567">
        <v>0</v>
      </c>
      <c r="H98" s="567">
        <v>0</v>
      </c>
    </row>
    <row r="99" spans="1:8" x14ac:dyDescent="0.25">
      <c r="A99" s="162"/>
      <c r="B99" s="564"/>
      <c r="C99" s="565"/>
      <c r="D99" s="20" t="s">
        <v>1425</v>
      </c>
      <c r="E99" s="566">
        <v>0</v>
      </c>
      <c r="F99" s="566">
        <v>0</v>
      </c>
      <c r="G99" s="567">
        <v>0</v>
      </c>
      <c r="H99" s="567">
        <v>0</v>
      </c>
    </row>
    <row r="100" spans="1:8" x14ac:dyDescent="0.25">
      <c r="A100" s="162"/>
      <c r="B100" s="564"/>
      <c r="C100" s="565"/>
      <c r="D100" s="20" t="s">
        <v>1426</v>
      </c>
      <c r="E100" s="566">
        <v>0</v>
      </c>
      <c r="F100" s="566">
        <v>0</v>
      </c>
      <c r="G100" s="567">
        <v>0</v>
      </c>
      <c r="H100" s="567">
        <v>0</v>
      </c>
    </row>
    <row r="101" spans="1:8" x14ac:dyDescent="0.25">
      <c r="A101" s="162"/>
      <c r="B101" s="564"/>
      <c r="C101" s="565"/>
      <c r="D101" s="20" t="s">
        <v>1427</v>
      </c>
      <c r="E101" s="566">
        <v>0</v>
      </c>
      <c r="F101" s="566">
        <v>0</v>
      </c>
      <c r="G101" s="567">
        <v>0</v>
      </c>
      <c r="H101" s="567">
        <v>0</v>
      </c>
    </row>
    <row r="102" spans="1:8" x14ac:dyDescent="0.25">
      <c r="A102" s="162"/>
      <c r="B102" s="564"/>
      <c r="C102" s="565"/>
      <c r="D102" s="20" t="s">
        <v>1428</v>
      </c>
      <c r="E102" s="566">
        <v>0</v>
      </c>
      <c r="F102" s="566">
        <v>0</v>
      </c>
      <c r="G102" s="567">
        <v>0</v>
      </c>
      <c r="H102" s="567">
        <v>0</v>
      </c>
    </row>
    <row r="103" spans="1:8" x14ac:dyDescent="0.25">
      <c r="A103" s="162"/>
      <c r="B103" s="564"/>
      <c r="C103" s="565"/>
      <c r="D103" s="20" t="s">
        <v>1429</v>
      </c>
      <c r="E103" s="566">
        <v>0</v>
      </c>
      <c r="F103" s="566">
        <v>0</v>
      </c>
      <c r="G103" s="567">
        <v>0</v>
      </c>
      <c r="H103" s="567">
        <v>0</v>
      </c>
    </row>
    <row r="104" spans="1:8" x14ac:dyDescent="0.25">
      <c r="A104" s="162"/>
      <c r="B104" s="564"/>
      <c r="C104" s="565"/>
      <c r="D104" s="20" t="s">
        <v>1430</v>
      </c>
      <c r="E104" s="566">
        <v>0</v>
      </c>
      <c r="F104" s="566">
        <v>0</v>
      </c>
      <c r="G104" s="567">
        <v>0</v>
      </c>
      <c r="H104" s="567">
        <v>0</v>
      </c>
    </row>
    <row r="105" spans="1:8" x14ac:dyDescent="0.25">
      <c r="A105" s="162"/>
      <c r="B105" s="564"/>
      <c r="C105" s="565"/>
      <c r="D105" s="20" t="s">
        <v>1431</v>
      </c>
      <c r="E105" s="566">
        <v>0</v>
      </c>
      <c r="F105" s="566">
        <v>0</v>
      </c>
      <c r="G105" s="567">
        <v>0</v>
      </c>
      <c r="H105" s="567">
        <v>0</v>
      </c>
    </row>
    <row r="106" spans="1:8" x14ac:dyDescent="0.25">
      <c r="A106" s="162"/>
      <c r="B106" s="564"/>
      <c r="C106" s="565"/>
      <c r="D106" s="20" t="s">
        <v>1432</v>
      </c>
      <c r="E106" s="566">
        <v>0</v>
      </c>
      <c r="F106" s="566">
        <v>0</v>
      </c>
      <c r="G106" s="567">
        <v>0</v>
      </c>
      <c r="H106" s="567">
        <v>0</v>
      </c>
    </row>
    <row r="107" spans="1:8" x14ac:dyDescent="0.25">
      <c r="A107" s="162"/>
      <c r="B107" s="564"/>
      <c r="C107" s="565"/>
      <c r="D107" s="20" t="s">
        <v>1433</v>
      </c>
      <c r="E107" s="566">
        <v>0</v>
      </c>
      <c r="F107" s="566">
        <v>0</v>
      </c>
      <c r="G107" s="567">
        <v>0</v>
      </c>
      <c r="H107" s="567">
        <v>0</v>
      </c>
    </row>
    <row r="108" spans="1:8" x14ac:dyDescent="0.25">
      <c r="A108" s="162"/>
      <c r="B108" s="564"/>
      <c r="C108" s="565"/>
      <c r="D108" s="20" t="s">
        <v>1434</v>
      </c>
      <c r="E108" s="566">
        <v>0</v>
      </c>
      <c r="F108" s="566">
        <v>0</v>
      </c>
      <c r="G108" s="567">
        <v>0</v>
      </c>
      <c r="H108" s="567">
        <v>0</v>
      </c>
    </row>
    <row r="109" spans="1:8" x14ac:dyDescent="0.25">
      <c r="A109" s="162"/>
      <c r="B109" s="564"/>
      <c r="C109" s="565"/>
      <c r="D109" s="20" t="s">
        <v>1435</v>
      </c>
      <c r="E109" s="566">
        <v>0</v>
      </c>
      <c r="F109" s="566">
        <v>0</v>
      </c>
      <c r="G109" s="567">
        <v>0</v>
      </c>
      <c r="H109" s="567">
        <v>0</v>
      </c>
    </row>
    <row r="110" spans="1:8" x14ac:dyDescent="0.25">
      <c r="A110" s="162"/>
      <c r="B110" s="564"/>
      <c r="C110" s="565"/>
      <c r="D110" s="20" t="s">
        <v>1436</v>
      </c>
      <c r="E110" s="566">
        <v>0</v>
      </c>
      <c r="F110" s="566">
        <v>0</v>
      </c>
      <c r="G110" s="567">
        <v>0</v>
      </c>
      <c r="H110" s="567">
        <v>0</v>
      </c>
    </row>
    <row r="111" spans="1:8" x14ac:dyDescent="0.25">
      <c r="A111" s="162"/>
      <c r="B111" s="564"/>
      <c r="C111" s="565"/>
      <c r="D111" s="20" t="s">
        <v>1437</v>
      </c>
      <c r="E111" s="566">
        <v>0</v>
      </c>
      <c r="F111" s="566">
        <v>0</v>
      </c>
      <c r="G111" s="567">
        <v>0</v>
      </c>
      <c r="H111" s="567">
        <v>0</v>
      </c>
    </row>
    <row r="112" spans="1:8" x14ac:dyDescent="0.25">
      <c r="A112" s="162"/>
      <c r="B112" s="564"/>
      <c r="C112" s="565"/>
      <c r="D112" s="20" t="s">
        <v>1438</v>
      </c>
      <c r="E112" s="566">
        <v>0</v>
      </c>
      <c r="F112" s="566">
        <v>0</v>
      </c>
      <c r="G112" s="567">
        <v>0</v>
      </c>
      <c r="H112" s="567">
        <v>0</v>
      </c>
    </row>
    <row r="113" spans="1:8" x14ac:dyDescent="0.25">
      <c r="A113" s="162"/>
      <c r="B113" s="564"/>
      <c r="C113" s="565"/>
      <c r="D113" s="20" t="s">
        <v>1439</v>
      </c>
      <c r="E113" s="566">
        <v>0</v>
      </c>
      <c r="F113" s="566">
        <v>0</v>
      </c>
      <c r="G113" s="567">
        <v>0</v>
      </c>
      <c r="H113" s="567">
        <v>0</v>
      </c>
    </row>
    <row r="114" spans="1:8" x14ac:dyDescent="0.25">
      <c r="A114" s="162"/>
      <c r="B114" s="564"/>
      <c r="C114" s="565"/>
      <c r="D114" s="20" t="s">
        <v>1440</v>
      </c>
      <c r="E114" s="566">
        <v>0</v>
      </c>
      <c r="F114" s="566">
        <v>0</v>
      </c>
      <c r="G114" s="567">
        <v>0</v>
      </c>
      <c r="H114" s="567">
        <v>0</v>
      </c>
    </row>
    <row r="115" spans="1:8" x14ac:dyDescent="0.25">
      <c r="A115" s="162"/>
      <c r="B115" s="564"/>
      <c r="C115" s="565"/>
      <c r="D115" s="20" t="s">
        <v>1441</v>
      </c>
      <c r="E115" s="566">
        <v>0</v>
      </c>
      <c r="F115" s="566">
        <v>0</v>
      </c>
      <c r="G115" s="567">
        <v>0</v>
      </c>
      <c r="H115" s="567">
        <v>0</v>
      </c>
    </row>
    <row r="116" spans="1:8" x14ac:dyDescent="0.25">
      <c r="A116" s="162"/>
      <c r="B116" s="564"/>
      <c r="C116" s="565"/>
      <c r="D116" s="20" t="s">
        <v>1442</v>
      </c>
      <c r="E116" s="566">
        <v>0</v>
      </c>
      <c r="F116" s="566">
        <v>0</v>
      </c>
      <c r="G116" s="567">
        <v>0</v>
      </c>
      <c r="H116" s="567">
        <v>0</v>
      </c>
    </row>
    <row r="117" spans="1:8" x14ac:dyDescent="0.25">
      <c r="A117" s="162"/>
      <c r="B117" s="564"/>
      <c r="C117" s="565"/>
      <c r="D117" s="20" t="s">
        <v>1443</v>
      </c>
      <c r="E117" s="566">
        <v>0</v>
      </c>
      <c r="F117" s="566">
        <v>0</v>
      </c>
      <c r="G117" s="567">
        <v>0</v>
      </c>
      <c r="H117" s="567">
        <v>0</v>
      </c>
    </row>
    <row r="118" spans="1:8" x14ac:dyDescent="0.25">
      <c r="A118" s="162"/>
      <c r="B118" s="564"/>
      <c r="C118" s="565"/>
      <c r="D118" s="20" t="s">
        <v>1444</v>
      </c>
      <c r="E118" s="566">
        <v>0</v>
      </c>
      <c r="F118" s="566">
        <v>0</v>
      </c>
      <c r="G118" s="567">
        <v>0</v>
      </c>
      <c r="H118" s="567">
        <v>0</v>
      </c>
    </row>
    <row r="119" spans="1:8" x14ac:dyDescent="0.25">
      <c r="A119" s="162"/>
      <c r="B119" s="564"/>
      <c r="C119" s="565"/>
      <c r="D119" s="20" t="s">
        <v>1445</v>
      </c>
      <c r="E119" s="566">
        <v>0</v>
      </c>
      <c r="F119" s="566">
        <v>0</v>
      </c>
      <c r="G119" s="567">
        <v>0</v>
      </c>
      <c r="H119" s="567">
        <v>0</v>
      </c>
    </row>
    <row r="120" spans="1:8" x14ac:dyDescent="0.25">
      <c r="A120" s="162"/>
      <c r="B120" s="564"/>
      <c r="C120" s="565"/>
      <c r="D120" s="20" t="s">
        <v>1446</v>
      </c>
      <c r="E120" s="566">
        <v>0</v>
      </c>
      <c r="F120" s="566">
        <v>0</v>
      </c>
      <c r="G120" s="567">
        <v>0</v>
      </c>
      <c r="H120" s="567">
        <v>0</v>
      </c>
    </row>
    <row r="121" spans="1:8" x14ac:dyDescent="0.25">
      <c r="A121" s="162"/>
      <c r="B121" s="564"/>
      <c r="C121" s="565"/>
      <c r="D121" s="20" t="s">
        <v>1447</v>
      </c>
      <c r="E121" s="566">
        <v>0</v>
      </c>
      <c r="F121" s="566">
        <v>0</v>
      </c>
      <c r="G121" s="567">
        <v>0</v>
      </c>
      <c r="H121" s="567">
        <v>0</v>
      </c>
    </row>
    <row r="122" spans="1:8" x14ac:dyDescent="0.25">
      <c r="A122" s="162"/>
      <c r="B122" s="564"/>
      <c r="C122" s="565"/>
      <c r="D122" s="20" t="s">
        <v>1448</v>
      </c>
      <c r="E122" s="566">
        <v>0</v>
      </c>
      <c r="F122" s="566">
        <v>0</v>
      </c>
      <c r="G122" s="567">
        <v>0</v>
      </c>
      <c r="H122" s="567">
        <v>0</v>
      </c>
    </row>
    <row r="123" spans="1:8" x14ac:dyDescent="0.25">
      <c r="A123" s="162"/>
      <c r="B123" s="564"/>
      <c r="C123" s="565"/>
      <c r="D123" s="20" t="s">
        <v>1449</v>
      </c>
      <c r="E123" s="566">
        <v>0</v>
      </c>
      <c r="F123" s="566">
        <v>0</v>
      </c>
      <c r="G123" s="567">
        <v>0</v>
      </c>
      <c r="H123" s="567">
        <v>0</v>
      </c>
    </row>
    <row r="124" spans="1:8" x14ac:dyDescent="0.25">
      <c r="A124" s="162"/>
      <c r="B124" s="564"/>
      <c r="C124" s="565"/>
      <c r="D124" s="20" t="s">
        <v>1450</v>
      </c>
      <c r="E124" s="566">
        <v>0</v>
      </c>
      <c r="F124" s="566">
        <v>0</v>
      </c>
      <c r="G124" s="567">
        <v>0</v>
      </c>
      <c r="H124" s="567">
        <v>0</v>
      </c>
    </row>
    <row r="125" spans="1:8" x14ac:dyDescent="0.25">
      <c r="A125" s="162"/>
      <c r="B125" s="564"/>
      <c r="C125" s="565"/>
      <c r="D125" s="20" t="s">
        <v>1451</v>
      </c>
      <c r="E125" s="566">
        <v>0</v>
      </c>
      <c r="F125" s="566">
        <v>0</v>
      </c>
      <c r="G125" s="567">
        <v>0</v>
      </c>
      <c r="H125" s="567">
        <v>0</v>
      </c>
    </row>
    <row r="126" spans="1:8" x14ac:dyDescent="0.25">
      <c r="A126" s="162"/>
      <c r="B126" s="564"/>
      <c r="C126" s="565"/>
      <c r="D126" s="20" t="s">
        <v>1452</v>
      </c>
      <c r="E126" s="566">
        <v>0</v>
      </c>
      <c r="F126" s="566">
        <v>0</v>
      </c>
      <c r="G126" s="567">
        <v>0</v>
      </c>
      <c r="H126" s="567">
        <v>0</v>
      </c>
    </row>
    <row r="127" spans="1:8" x14ac:dyDescent="0.25">
      <c r="A127" s="162"/>
      <c r="B127" s="564"/>
      <c r="C127" s="565"/>
      <c r="D127" s="20" t="s">
        <v>1453</v>
      </c>
      <c r="E127" s="566">
        <v>0</v>
      </c>
      <c r="F127" s="566">
        <v>0</v>
      </c>
      <c r="G127" s="567">
        <v>0</v>
      </c>
      <c r="H127" s="567">
        <v>0</v>
      </c>
    </row>
    <row r="128" spans="1:8" x14ac:dyDescent="0.25">
      <c r="A128" s="162"/>
      <c r="B128" s="564"/>
      <c r="C128" s="565"/>
      <c r="D128" s="20" t="s">
        <v>1454</v>
      </c>
      <c r="E128" s="566">
        <v>0</v>
      </c>
      <c r="F128" s="566">
        <v>0</v>
      </c>
      <c r="G128" s="567">
        <v>0</v>
      </c>
      <c r="H128" s="567">
        <v>0</v>
      </c>
    </row>
    <row r="129" spans="1:8" x14ac:dyDescent="0.25">
      <c r="A129" s="162"/>
      <c r="B129" s="564"/>
      <c r="C129" s="565"/>
      <c r="D129" s="20" t="s">
        <v>1455</v>
      </c>
      <c r="E129" s="566">
        <v>0</v>
      </c>
      <c r="F129" s="566">
        <v>0</v>
      </c>
      <c r="G129" s="567">
        <v>0</v>
      </c>
      <c r="H129" s="567">
        <v>0</v>
      </c>
    </row>
    <row r="130" spans="1:8" x14ac:dyDescent="0.25">
      <c r="A130" s="162"/>
      <c r="B130" s="564"/>
      <c r="C130" s="565"/>
      <c r="D130" s="20" t="s">
        <v>1456</v>
      </c>
      <c r="E130" s="566">
        <v>0</v>
      </c>
      <c r="F130" s="566">
        <v>0</v>
      </c>
      <c r="G130" s="567">
        <v>0</v>
      </c>
      <c r="H130" s="567">
        <v>0</v>
      </c>
    </row>
    <row r="131" spans="1:8" x14ac:dyDescent="0.25">
      <c r="A131" s="162"/>
      <c r="B131" s="564"/>
      <c r="C131" s="565"/>
      <c r="D131" s="20" t="s">
        <v>1457</v>
      </c>
      <c r="E131" s="566">
        <v>0</v>
      </c>
      <c r="F131" s="566">
        <v>0</v>
      </c>
      <c r="G131" s="567">
        <v>0</v>
      </c>
      <c r="H131" s="567">
        <v>0</v>
      </c>
    </row>
    <row r="132" spans="1:8" x14ac:dyDescent="0.25">
      <c r="A132" s="162"/>
      <c r="B132" s="564"/>
      <c r="C132" s="565"/>
      <c r="D132" s="20" t="s">
        <v>1458</v>
      </c>
      <c r="E132" s="566">
        <v>0</v>
      </c>
      <c r="F132" s="566">
        <v>0</v>
      </c>
      <c r="G132" s="567">
        <v>0</v>
      </c>
      <c r="H132" s="567">
        <v>0</v>
      </c>
    </row>
    <row r="133" spans="1:8" x14ac:dyDescent="0.25">
      <c r="A133" s="162"/>
      <c r="B133" s="564"/>
      <c r="C133" s="565"/>
      <c r="D133" s="20" t="s">
        <v>1459</v>
      </c>
      <c r="E133" s="566">
        <v>0</v>
      </c>
      <c r="F133" s="566">
        <v>0</v>
      </c>
      <c r="G133" s="567">
        <v>0</v>
      </c>
      <c r="H133" s="567">
        <v>0</v>
      </c>
    </row>
    <row r="134" spans="1:8" x14ac:dyDescent="0.25">
      <c r="A134" s="162"/>
      <c r="B134" s="564"/>
      <c r="C134" s="565"/>
      <c r="D134" s="20" t="s">
        <v>1460</v>
      </c>
      <c r="E134" s="566">
        <v>0</v>
      </c>
      <c r="F134" s="566">
        <v>0</v>
      </c>
      <c r="G134" s="567">
        <v>0</v>
      </c>
      <c r="H134" s="567">
        <v>0</v>
      </c>
    </row>
    <row r="135" spans="1:8" x14ac:dyDescent="0.25">
      <c r="A135" s="162"/>
      <c r="B135" s="564"/>
      <c r="C135" s="565"/>
      <c r="D135" s="20" t="s">
        <v>1461</v>
      </c>
      <c r="E135" s="566">
        <v>0</v>
      </c>
      <c r="F135" s="566">
        <v>0</v>
      </c>
      <c r="G135" s="567">
        <v>0</v>
      </c>
      <c r="H135" s="567">
        <v>0</v>
      </c>
    </row>
    <row r="136" spans="1:8" x14ac:dyDescent="0.25">
      <c r="A136" s="162"/>
      <c r="B136" s="564"/>
      <c r="C136" s="565"/>
      <c r="D136" s="20" t="s">
        <v>1462</v>
      </c>
      <c r="E136" s="566">
        <v>0</v>
      </c>
      <c r="F136" s="566">
        <v>0</v>
      </c>
      <c r="G136" s="567">
        <v>0</v>
      </c>
      <c r="H136" s="567">
        <v>0</v>
      </c>
    </row>
    <row r="137" spans="1:8" x14ac:dyDescent="0.25">
      <c r="A137" s="162"/>
      <c r="B137" s="564"/>
      <c r="C137" s="565"/>
      <c r="D137" s="20" t="s">
        <v>1463</v>
      </c>
      <c r="E137" s="566">
        <v>0</v>
      </c>
      <c r="F137" s="566">
        <v>0</v>
      </c>
      <c r="G137" s="567">
        <v>0</v>
      </c>
      <c r="H137" s="567">
        <v>0</v>
      </c>
    </row>
    <row r="138" spans="1:8" x14ac:dyDescent="0.25">
      <c r="A138" s="162"/>
      <c r="B138" s="564"/>
      <c r="C138" s="565"/>
      <c r="D138" s="20" t="s">
        <v>1464</v>
      </c>
      <c r="E138" s="566">
        <v>0</v>
      </c>
      <c r="F138" s="566">
        <v>0</v>
      </c>
      <c r="G138" s="567">
        <v>0</v>
      </c>
      <c r="H138" s="567">
        <v>0</v>
      </c>
    </row>
    <row r="139" spans="1:8" x14ac:dyDescent="0.25">
      <c r="A139" s="162"/>
      <c r="B139" s="564"/>
      <c r="C139" s="565"/>
      <c r="D139" s="20" t="s">
        <v>1465</v>
      </c>
      <c r="E139" s="566">
        <v>0</v>
      </c>
      <c r="F139" s="566">
        <v>0</v>
      </c>
      <c r="G139" s="567">
        <v>0</v>
      </c>
      <c r="H139" s="567">
        <v>0</v>
      </c>
    </row>
    <row r="140" spans="1:8" x14ac:dyDescent="0.25">
      <c r="A140" s="162"/>
      <c r="B140" s="564"/>
      <c r="C140" s="565"/>
      <c r="D140" s="20" t="s">
        <v>1466</v>
      </c>
      <c r="E140" s="566">
        <v>0</v>
      </c>
      <c r="F140" s="566">
        <v>0</v>
      </c>
      <c r="G140" s="567">
        <v>0</v>
      </c>
      <c r="H140" s="567">
        <v>0</v>
      </c>
    </row>
    <row r="141" spans="1:8" x14ac:dyDescent="0.25">
      <c r="A141" s="162"/>
      <c r="B141" s="564"/>
      <c r="C141" s="565"/>
      <c r="D141" s="20" t="s">
        <v>1467</v>
      </c>
      <c r="E141" s="566">
        <v>0</v>
      </c>
      <c r="F141" s="566">
        <v>0</v>
      </c>
      <c r="G141" s="567">
        <v>0</v>
      </c>
      <c r="H141" s="567">
        <v>0</v>
      </c>
    </row>
    <row r="142" spans="1:8" x14ac:dyDescent="0.25">
      <c r="A142" s="162"/>
      <c r="B142" s="564"/>
      <c r="C142" s="565"/>
      <c r="D142" s="20" t="s">
        <v>1468</v>
      </c>
      <c r="E142" s="566">
        <v>0</v>
      </c>
      <c r="F142" s="566">
        <v>0</v>
      </c>
      <c r="G142" s="567">
        <v>0</v>
      </c>
      <c r="H142" s="567">
        <v>0</v>
      </c>
    </row>
    <row r="143" spans="1:8" x14ac:dyDescent="0.25">
      <c r="A143" s="162"/>
      <c r="B143" s="564"/>
      <c r="C143" s="565"/>
      <c r="D143" s="20" t="s">
        <v>1469</v>
      </c>
      <c r="E143" s="566">
        <v>0</v>
      </c>
      <c r="F143" s="566">
        <v>0</v>
      </c>
      <c r="G143" s="567">
        <v>0</v>
      </c>
      <c r="H143" s="567">
        <v>0</v>
      </c>
    </row>
    <row r="144" spans="1:8" x14ac:dyDescent="0.25">
      <c r="A144" s="162"/>
      <c r="B144" s="564"/>
      <c r="C144" s="565"/>
      <c r="D144" s="20" t="s">
        <v>1470</v>
      </c>
      <c r="E144" s="566">
        <v>0</v>
      </c>
      <c r="F144" s="566">
        <v>0</v>
      </c>
      <c r="G144" s="567">
        <v>0</v>
      </c>
      <c r="H144" s="567">
        <v>0</v>
      </c>
    </row>
    <row r="145" spans="1:8" x14ac:dyDescent="0.25">
      <c r="A145" s="162"/>
      <c r="B145" s="564"/>
      <c r="C145" s="565"/>
      <c r="D145" s="20" t="s">
        <v>1471</v>
      </c>
      <c r="E145" s="566">
        <v>0</v>
      </c>
      <c r="F145" s="566">
        <v>0</v>
      </c>
      <c r="G145" s="567">
        <v>0</v>
      </c>
      <c r="H145" s="567">
        <v>0</v>
      </c>
    </row>
    <row r="146" spans="1:8" x14ac:dyDescent="0.25">
      <c r="A146" s="162"/>
      <c r="B146" s="564"/>
      <c r="C146" s="565"/>
      <c r="D146" s="20" t="s">
        <v>1472</v>
      </c>
      <c r="E146" s="566">
        <v>0</v>
      </c>
      <c r="F146" s="566">
        <v>0</v>
      </c>
      <c r="G146" s="567">
        <v>0</v>
      </c>
      <c r="H146" s="567">
        <v>0</v>
      </c>
    </row>
    <row r="147" spans="1:8" x14ac:dyDescent="0.25">
      <c r="A147" s="162"/>
      <c r="B147" s="564"/>
      <c r="C147" s="565"/>
      <c r="D147" s="20" t="s">
        <v>1473</v>
      </c>
      <c r="E147" s="566">
        <v>0</v>
      </c>
      <c r="F147" s="566">
        <v>0</v>
      </c>
      <c r="G147" s="567">
        <v>0</v>
      </c>
      <c r="H147" s="567">
        <v>0</v>
      </c>
    </row>
    <row r="148" spans="1:8" x14ac:dyDescent="0.25">
      <c r="A148" s="162"/>
      <c r="B148" s="564"/>
      <c r="C148" s="565"/>
      <c r="D148" s="20" t="s">
        <v>1474</v>
      </c>
      <c r="E148" s="566">
        <v>0</v>
      </c>
      <c r="F148" s="566">
        <v>0</v>
      </c>
      <c r="G148" s="567">
        <v>0</v>
      </c>
      <c r="H148" s="567">
        <v>0</v>
      </c>
    </row>
    <row r="149" spans="1:8" x14ac:dyDescent="0.25">
      <c r="A149" s="162"/>
      <c r="B149" s="564"/>
      <c r="C149" s="565"/>
      <c r="D149" s="20" t="s">
        <v>1475</v>
      </c>
      <c r="E149" s="566">
        <v>0</v>
      </c>
      <c r="F149" s="566">
        <v>0</v>
      </c>
      <c r="G149" s="567">
        <v>0</v>
      </c>
      <c r="H149" s="567">
        <v>0</v>
      </c>
    </row>
    <row r="150" spans="1:8" x14ac:dyDescent="0.25">
      <c r="A150" s="162"/>
      <c r="B150" s="564"/>
      <c r="C150" s="565"/>
      <c r="D150" s="20" t="s">
        <v>1476</v>
      </c>
      <c r="E150" s="566">
        <v>0</v>
      </c>
      <c r="F150" s="566">
        <v>0</v>
      </c>
      <c r="G150" s="567">
        <v>0</v>
      </c>
      <c r="H150" s="567">
        <v>0</v>
      </c>
    </row>
    <row r="151" spans="1:8" x14ac:dyDescent="0.25">
      <c r="A151" s="162"/>
      <c r="B151" s="564"/>
      <c r="C151" s="565"/>
      <c r="D151" s="20" t="s">
        <v>1477</v>
      </c>
      <c r="E151" s="566">
        <v>0</v>
      </c>
      <c r="F151" s="566">
        <v>0</v>
      </c>
      <c r="G151" s="567">
        <v>0</v>
      </c>
      <c r="H151" s="567">
        <v>0</v>
      </c>
    </row>
    <row r="152" spans="1:8" x14ac:dyDescent="0.25">
      <c r="A152" s="162"/>
      <c r="B152" s="564"/>
      <c r="C152" s="565"/>
      <c r="D152" s="20" t="s">
        <v>1478</v>
      </c>
      <c r="E152" s="566">
        <v>0</v>
      </c>
      <c r="F152" s="566">
        <v>0</v>
      </c>
      <c r="G152" s="567">
        <v>0</v>
      </c>
      <c r="H152" s="567">
        <v>0</v>
      </c>
    </row>
    <row r="153" spans="1:8" x14ac:dyDescent="0.25">
      <c r="A153" s="162"/>
      <c r="B153" s="564"/>
      <c r="C153" s="565"/>
      <c r="D153" s="20" t="s">
        <v>1479</v>
      </c>
      <c r="E153" s="566">
        <v>0</v>
      </c>
      <c r="F153" s="566">
        <v>0</v>
      </c>
      <c r="G153" s="567">
        <v>0</v>
      </c>
      <c r="H153" s="567">
        <v>0</v>
      </c>
    </row>
    <row r="154" spans="1:8" x14ac:dyDescent="0.25">
      <c r="A154" s="162"/>
      <c r="B154" s="564"/>
      <c r="C154" s="565"/>
      <c r="D154" s="20" t="s">
        <v>1480</v>
      </c>
      <c r="E154" s="566">
        <v>0</v>
      </c>
      <c r="F154" s="566">
        <v>0</v>
      </c>
      <c r="G154" s="567">
        <v>0</v>
      </c>
      <c r="H154" s="567">
        <v>0</v>
      </c>
    </row>
    <row r="155" spans="1:8" x14ac:dyDescent="0.25">
      <c r="A155" s="162"/>
      <c r="B155" s="564"/>
      <c r="C155" s="565"/>
      <c r="D155" s="20" t="s">
        <v>1481</v>
      </c>
      <c r="E155" s="566">
        <v>0</v>
      </c>
      <c r="F155" s="566">
        <v>0</v>
      </c>
      <c r="G155" s="567">
        <v>0</v>
      </c>
      <c r="H155" s="567">
        <v>0</v>
      </c>
    </row>
    <row r="156" spans="1:8" x14ac:dyDescent="0.25">
      <c r="A156" s="162"/>
      <c r="B156" s="564"/>
      <c r="C156" s="565"/>
      <c r="D156" s="20" t="s">
        <v>1482</v>
      </c>
      <c r="E156" s="566">
        <v>0</v>
      </c>
      <c r="F156" s="566">
        <v>0</v>
      </c>
      <c r="G156" s="567">
        <v>0</v>
      </c>
      <c r="H156" s="567">
        <v>0</v>
      </c>
    </row>
    <row r="157" spans="1:8" x14ac:dyDescent="0.25">
      <c r="A157" s="162"/>
      <c r="B157" s="564"/>
      <c r="C157" s="565"/>
      <c r="D157" s="20" t="s">
        <v>1483</v>
      </c>
      <c r="E157" s="566">
        <v>0</v>
      </c>
      <c r="F157" s="566">
        <v>0</v>
      </c>
      <c r="G157" s="567">
        <v>0</v>
      </c>
      <c r="H157" s="567">
        <v>0</v>
      </c>
    </row>
    <row r="158" spans="1:8" x14ac:dyDescent="0.25">
      <c r="A158" s="162"/>
      <c r="B158" s="564"/>
      <c r="C158" s="565"/>
      <c r="D158" s="20" t="s">
        <v>1484</v>
      </c>
      <c r="E158" s="566">
        <v>0</v>
      </c>
      <c r="F158" s="566">
        <v>0</v>
      </c>
      <c r="G158" s="567">
        <v>0</v>
      </c>
      <c r="H158" s="567">
        <v>0</v>
      </c>
    </row>
    <row r="159" spans="1:8" x14ac:dyDescent="0.25">
      <c r="A159" s="162"/>
      <c r="B159" s="564"/>
      <c r="C159" s="565"/>
      <c r="D159" s="20" t="s">
        <v>1485</v>
      </c>
      <c r="E159" s="566">
        <v>0</v>
      </c>
      <c r="F159" s="566">
        <v>0</v>
      </c>
      <c r="G159" s="567">
        <v>0</v>
      </c>
      <c r="H159" s="567">
        <v>0</v>
      </c>
    </row>
  </sheetData>
  <sheetProtection algorithmName="SHA-512" hashValue="XTd69t57eG+8vCfeILL7dUQY0g95qu7sm82yNPwcaeWFxnCxFKkh0mahZiiYj0w9jHeq8HkXh1MUrgv+uRbWQg==" saltValue="PUkyTE4Mg9UcKIyR96uylA==" spinCount="100000" sheet="1" objects="1" scenarios="1"/>
  <mergeCells count="1">
    <mergeCell ref="B12:D12"/>
  </mergeCells>
  <dataValidations count="4">
    <dataValidation type="whole" operator="greaterThan" allowBlank="1" showInputMessage="1" showErrorMessage="1" errorTitle="Whole numbers allowed only" error="All monies should be independently rounded to the nearest £1,000." sqref="E5:H9">
      <formula1>-99999999</formula1>
    </dataValidation>
    <dataValidation type="decimal" operator="greaterThanOrEqual" allowBlank="1" showInputMessage="1" showErrorMessage="1" errorTitle="Numeric values only" error="Numeric values only" sqref="E13:H13">
      <formula1>0</formula1>
    </dataValidation>
    <dataValidation type="decimal" operator="greaterThanOrEqual" allowBlank="1" showInputMessage="1" showErrorMessage="1" errorTitle="Numeric values only" error="Numeric values only" sqref="G19:H159">
      <formula1>0</formula1>
    </dataValidation>
    <dataValidation type="whole" operator="greaterThan" allowBlank="1" showInputMessage="1" showErrorMessage="1" errorTitle="Whole numbers only allowed" error="All values should be whole numbers" sqref="E19:F159">
      <formula1>-999999999</formula1>
    </dataValidation>
  </dataValidations>
  <printOptions headings="1"/>
  <pageMargins left="0.31496062992125984" right="0.31496062992125984" top="0.35433070866141736" bottom="0.35433070866141736"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26"/>
  <sheetViews>
    <sheetView showGridLines="0" topLeftCell="A175" zoomScale="90" zoomScaleNormal="90" workbookViewId="0">
      <selection activeCell="H238" sqref="H238"/>
    </sheetView>
  </sheetViews>
  <sheetFormatPr defaultColWidth="9.85546875" defaultRowHeight="12.75" x14ac:dyDescent="0.2"/>
  <cols>
    <col min="1" max="1" width="24.7109375" style="46" customWidth="1"/>
    <col min="2" max="2" width="72.7109375" style="46" customWidth="1"/>
    <col min="3" max="3" width="26" style="46" customWidth="1"/>
    <col min="4" max="4" width="25.28515625" style="46" customWidth="1"/>
    <col min="5" max="5" width="24.7109375" style="46" customWidth="1"/>
    <col min="6" max="6" width="19.7109375" style="46" customWidth="1"/>
    <col min="7" max="7" width="10.5703125" style="46" customWidth="1"/>
    <col min="8" max="8" width="9.85546875" style="46" customWidth="1"/>
    <col min="9" max="9" width="22.7109375" style="84" customWidth="1"/>
    <col min="10" max="10" width="6.85546875" style="85" customWidth="1"/>
    <col min="11" max="11" width="6.28515625" style="85" customWidth="1"/>
    <col min="12" max="12" width="5.7109375" style="85" customWidth="1"/>
    <col min="13" max="13" width="7.7109375" style="85" customWidth="1"/>
    <col min="14" max="15" width="15.5703125" style="89" hidden="1" customWidth="1"/>
    <col min="16" max="16" width="9.85546875" style="46" customWidth="1"/>
    <col min="17" max="16384" width="9.85546875" style="46"/>
  </cols>
  <sheetData>
    <row r="1" spans="1:15" customFormat="1" ht="16.350000000000001" customHeight="1" x14ac:dyDescent="0.25">
      <c r="A1" s="47" t="s">
        <v>9</v>
      </c>
      <c r="B1" s="48"/>
      <c r="C1" s="49" t="s">
        <v>10</v>
      </c>
      <c r="D1" s="50">
        <v>1.2</v>
      </c>
      <c r="E1" s="51"/>
      <c r="F1" s="51"/>
      <c r="G1" s="51"/>
      <c r="H1" s="51"/>
      <c r="I1" s="52"/>
      <c r="J1" s="53"/>
      <c r="N1" s="54"/>
      <c r="O1" s="54"/>
    </row>
    <row r="2" spans="1:15" x14ac:dyDescent="0.2">
      <c r="A2" s="55" t="s">
        <v>11</v>
      </c>
      <c r="B2" s="56" t="s">
        <v>12</v>
      </c>
      <c r="C2" s="57" t="s">
        <v>13</v>
      </c>
      <c r="D2" s="58">
        <f>SUM(N26:N219)</f>
        <v>0</v>
      </c>
      <c r="E2" s="59"/>
      <c r="F2" s="59"/>
      <c r="G2" s="59"/>
      <c r="H2" s="59"/>
      <c r="I2" s="60"/>
      <c r="J2" s="61"/>
    </row>
    <row r="3" spans="1:15" x14ac:dyDescent="0.2">
      <c r="A3" s="62" t="s">
        <v>14</v>
      </c>
      <c r="B3" s="63" t="s">
        <v>15</v>
      </c>
      <c r="C3" s="57" t="s">
        <v>16</v>
      </c>
      <c r="D3" s="57">
        <f>SUM(O26:O219)</f>
        <v>0</v>
      </c>
      <c r="E3" s="59"/>
      <c r="F3" s="59"/>
      <c r="G3" s="59"/>
      <c r="H3" s="59"/>
      <c r="I3" s="60"/>
      <c r="J3" s="61"/>
    </row>
    <row r="4" spans="1:15" x14ac:dyDescent="0.2">
      <c r="A4" s="62" t="s">
        <v>17</v>
      </c>
      <c r="B4" s="64" t="s">
        <v>18</v>
      </c>
      <c r="C4" s="65"/>
      <c r="D4" s="65"/>
      <c r="E4" s="59"/>
      <c r="F4" s="59"/>
      <c r="G4" s="59"/>
      <c r="H4" s="59"/>
      <c r="I4" s="60"/>
      <c r="J4" s="61"/>
    </row>
    <row r="5" spans="1:15" x14ac:dyDescent="0.2">
      <c r="A5" s="66" t="s">
        <v>19</v>
      </c>
      <c r="B5" s="67">
        <v>17031</v>
      </c>
      <c r="C5" s="68"/>
      <c r="D5" s="69"/>
      <c r="E5" s="70"/>
      <c r="F5" s="70"/>
      <c r="G5" s="70"/>
      <c r="H5" s="70"/>
      <c r="I5" s="71"/>
      <c r="J5" s="72"/>
    </row>
    <row r="6" spans="1:15" x14ac:dyDescent="0.2">
      <c r="A6" s="613"/>
      <c r="B6" s="613"/>
      <c r="C6" s="73"/>
      <c r="D6" s="69"/>
      <c r="E6" s="70"/>
      <c r="F6" s="70"/>
      <c r="G6" s="70"/>
      <c r="H6" s="70"/>
      <c r="I6" s="71"/>
      <c r="J6" s="72"/>
    </row>
    <row r="8" spans="1:15" customFormat="1" ht="15.4" customHeight="1" x14ac:dyDescent="0.25">
      <c r="A8" s="74"/>
      <c r="B8" s="75"/>
      <c r="C8" s="73"/>
      <c r="D8" s="76"/>
      <c r="E8" s="77"/>
      <c r="F8" s="77"/>
      <c r="G8" s="76"/>
      <c r="N8" s="54"/>
      <c r="O8" s="54"/>
    </row>
    <row r="9" spans="1:15" customFormat="1" ht="15.4" customHeight="1" x14ac:dyDescent="0.25">
      <c r="A9" s="70" t="s">
        <v>20</v>
      </c>
      <c r="B9" s="78"/>
      <c r="C9" s="78"/>
      <c r="D9" s="76"/>
      <c r="E9" s="77"/>
      <c r="F9" s="77"/>
      <c r="G9" s="76"/>
      <c r="N9" s="54"/>
      <c r="O9" s="54"/>
    </row>
    <row r="10" spans="1:15" customFormat="1" ht="15.4" customHeight="1" x14ac:dyDescent="0.25">
      <c r="A10" s="70" t="s">
        <v>21</v>
      </c>
      <c r="B10" s="78"/>
      <c r="C10" s="78"/>
      <c r="D10" s="76"/>
      <c r="E10" s="77"/>
      <c r="F10" s="77"/>
      <c r="G10" s="76"/>
      <c r="N10" s="54"/>
      <c r="O10" s="54"/>
    </row>
    <row r="11" spans="1:15" customFormat="1" ht="15.4" customHeight="1" x14ac:dyDescent="0.25">
      <c r="A11" s="70"/>
      <c r="B11" s="78"/>
      <c r="C11" s="78"/>
      <c r="D11" s="76"/>
      <c r="E11" s="77"/>
      <c r="F11" s="77"/>
      <c r="G11" s="76"/>
      <c r="N11" s="54"/>
      <c r="O11" s="54"/>
    </row>
    <row r="12" spans="1:15" customFormat="1" ht="15.4" customHeight="1" x14ac:dyDescent="0.25">
      <c r="A12" s="46" t="s">
        <v>22</v>
      </c>
      <c r="B12" s="78"/>
      <c r="C12" s="78"/>
      <c r="D12" s="76"/>
      <c r="E12" s="77"/>
      <c r="F12" s="77"/>
      <c r="G12" s="76"/>
      <c r="N12" s="54"/>
      <c r="O12" s="54"/>
    </row>
    <row r="13" spans="1:15" x14ac:dyDescent="0.2">
      <c r="A13" s="46" t="s">
        <v>23</v>
      </c>
      <c r="B13" s="79"/>
      <c r="C13" s="74"/>
      <c r="D13" s="74"/>
      <c r="E13" s="74"/>
      <c r="F13" s="74"/>
      <c r="G13" s="74"/>
    </row>
    <row r="14" spans="1:15" customFormat="1" ht="14.1" customHeight="1" x14ac:dyDescent="0.25">
      <c r="A14" s="46" t="s">
        <v>24</v>
      </c>
      <c r="B14" s="80"/>
      <c r="C14" s="46"/>
      <c r="D14" s="81"/>
      <c r="E14" s="82"/>
      <c r="F14" s="81"/>
      <c r="G14" s="83"/>
      <c r="H14" s="46"/>
      <c r="I14" s="84"/>
      <c r="J14" s="85"/>
      <c r="K14" s="85"/>
      <c r="L14" s="85"/>
      <c r="M14" s="85"/>
      <c r="N14" s="86"/>
      <c r="O14" s="86"/>
    </row>
    <row r="15" spans="1:15" x14ac:dyDescent="0.2">
      <c r="A15" s="46" t="s">
        <v>25</v>
      </c>
      <c r="B15" s="80"/>
      <c r="D15" s="82"/>
      <c r="E15" s="82"/>
      <c r="F15" s="82"/>
      <c r="G15" s="87"/>
      <c r="H15" s="70"/>
      <c r="I15" s="71"/>
      <c r="J15" s="72"/>
      <c r="K15" s="72"/>
    </row>
    <row r="16" spans="1:15" x14ac:dyDescent="0.2">
      <c r="B16" s="80"/>
      <c r="D16" s="81"/>
      <c r="E16" s="81"/>
      <c r="F16" s="81"/>
      <c r="G16" s="83"/>
    </row>
    <row r="17" spans="1:15" x14ac:dyDescent="0.2">
      <c r="A17" s="46" t="s">
        <v>26</v>
      </c>
      <c r="B17" s="80"/>
      <c r="D17" s="81"/>
      <c r="E17" s="81"/>
      <c r="F17" s="81"/>
      <c r="G17" s="83"/>
    </row>
    <row r="18" spans="1:15" x14ac:dyDescent="0.2">
      <c r="A18" s="88" t="s">
        <v>27</v>
      </c>
      <c r="B18" s="80"/>
      <c r="D18" s="81"/>
      <c r="E18" s="81"/>
      <c r="F18" s="81"/>
      <c r="G18" s="83"/>
    </row>
    <row r="19" spans="1:15" x14ac:dyDescent="0.2">
      <c r="A19" s="88"/>
      <c r="B19" s="80"/>
      <c r="D19" s="81"/>
      <c r="E19" s="81"/>
      <c r="F19" s="81"/>
      <c r="G19" s="83"/>
    </row>
    <row r="20" spans="1:15" x14ac:dyDescent="0.2">
      <c r="A20" s="90"/>
      <c r="B20" s="79"/>
      <c r="C20" s="91"/>
      <c r="D20" s="91"/>
      <c r="E20" s="92"/>
      <c r="F20" s="92"/>
      <c r="G20" s="92"/>
    </row>
    <row r="21" spans="1:15" x14ac:dyDescent="0.2">
      <c r="A21" s="93" t="s">
        <v>28</v>
      </c>
      <c r="B21" s="93"/>
      <c r="C21" s="94"/>
      <c r="D21" s="95"/>
      <c r="E21" s="95"/>
      <c r="F21" s="95"/>
      <c r="G21" s="95"/>
      <c r="H21" s="95"/>
      <c r="I21" s="96"/>
      <c r="J21" s="97"/>
      <c r="K21" s="72"/>
    </row>
    <row r="22" spans="1:15" x14ac:dyDescent="0.2">
      <c r="A22" s="98"/>
      <c r="B22" s="99"/>
      <c r="C22" s="100"/>
      <c r="D22" s="100"/>
      <c r="E22" s="100"/>
      <c r="F22" s="100"/>
      <c r="G22" s="100"/>
      <c r="H22" s="100"/>
      <c r="I22" s="101"/>
      <c r="J22" s="97"/>
      <c r="K22" s="72"/>
    </row>
    <row r="23" spans="1:15" x14ac:dyDescent="0.2">
      <c r="A23" s="102"/>
      <c r="B23" s="103"/>
      <c r="C23" s="104"/>
      <c r="D23" s="105"/>
      <c r="E23" s="105"/>
      <c r="F23" s="104"/>
      <c r="G23" s="104"/>
      <c r="H23" s="104"/>
      <c r="I23" s="106"/>
      <c r="J23" s="97"/>
      <c r="K23" s="107"/>
    </row>
    <row r="24" spans="1:15" customFormat="1" ht="12.95" customHeight="1" x14ac:dyDescent="0.25">
      <c r="A24" s="108" t="s">
        <v>29</v>
      </c>
      <c r="B24" s="74" t="s">
        <v>30</v>
      </c>
      <c r="C24" s="74"/>
      <c r="D24" s="109"/>
      <c r="E24" s="73" t="s">
        <v>31</v>
      </c>
      <c r="F24" s="73"/>
      <c r="G24" s="73" t="s">
        <v>32</v>
      </c>
      <c r="H24" s="110" t="s">
        <v>33</v>
      </c>
      <c r="I24" s="111"/>
      <c r="J24" s="112"/>
      <c r="K24" s="113"/>
      <c r="N24" s="114" t="s">
        <v>34</v>
      </c>
      <c r="O24" s="114" t="s">
        <v>34</v>
      </c>
    </row>
    <row r="25" spans="1:15" x14ac:dyDescent="0.2">
      <c r="B25" s="115"/>
      <c r="C25" s="115"/>
      <c r="D25" s="115"/>
      <c r="E25" s="115"/>
      <c r="F25" s="115"/>
      <c r="G25" s="115"/>
      <c r="H25" s="115"/>
      <c r="K25" s="116"/>
    </row>
    <row r="26" spans="1:15" customFormat="1" ht="14.65" customHeight="1" x14ac:dyDescent="0.25">
      <c r="A26" s="117" t="s">
        <v>35</v>
      </c>
      <c r="B26" s="118" t="s">
        <v>36</v>
      </c>
      <c r="C26" s="118"/>
      <c r="D26" s="118"/>
      <c r="E26" s="117" t="s">
        <v>37</v>
      </c>
      <c r="F26" s="117"/>
      <c r="G26" s="117" t="s">
        <v>38</v>
      </c>
      <c r="H26" s="119" t="str">
        <f>IF(Table_1_UK!H6&lt;&gt;0,"PASS","FAIL")</f>
        <v>PASS</v>
      </c>
      <c r="I26" s="84">
        <f>Table_1_UK!H6</f>
        <v>312015</v>
      </c>
      <c r="J26" s="85"/>
      <c r="K26" s="85"/>
      <c r="N26" s="89">
        <f t="shared" ref="N26:N57" si="0">IF(AND(G26="Error",H26="FAIL"),1,0)</f>
        <v>0</v>
      </c>
      <c r="O26" s="89">
        <f t="shared" ref="O26:O57" si="1">IF(AND(G26="Warning",H26="FAIL"),1,0)</f>
        <v>0</v>
      </c>
    </row>
    <row r="27" spans="1:15" customFormat="1" ht="14.65" customHeight="1" x14ac:dyDescent="0.25">
      <c r="A27" s="117" t="s">
        <v>39</v>
      </c>
      <c r="B27" s="118" t="s">
        <v>40</v>
      </c>
      <c r="C27" s="118"/>
      <c r="D27" s="118"/>
      <c r="E27" s="117" t="s">
        <v>41</v>
      </c>
      <c r="F27" s="117"/>
      <c r="G27" s="117" t="s">
        <v>38</v>
      </c>
      <c r="H27" s="119" t="str">
        <f>IF(Table_1_UK!H7=0,"FAIL","PASS")</f>
        <v>PASS</v>
      </c>
      <c r="I27" s="84">
        <f>Table_1_UK!H7</f>
        <v>186652</v>
      </c>
      <c r="J27" s="85"/>
      <c r="K27" s="85"/>
      <c r="N27" s="89">
        <f t="shared" si="0"/>
        <v>0</v>
      </c>
      <c r="O27" s="89">
        <f t="shared" si="1"/>
        <v>0</v>
      </c>
    </row>
    <row r="28" spans="1:15" customFormat="1" ht="14.65" customHeight="1" x14ac:dyDescent="0.25">
      <c r="A28" s="117" t="s">
        <v>42</v>
      </c>
      <c r="B28" s="118" t="s">
        <v>43</v>
      </c>
      <c r="C28" s="118"/>
      <c r="D28" s="118"/>
      <c r="E28" s="117" t="s">
        <v>44</v>
      </c>
      <c r="F28" s="117"/>
      <c r="G28" s="117" t="s">
        <v>45</v>
      </c>
      <c r="H28" s="119" t="str">
        <f>IF(Table_1_UK!H8&lt;&gt;0,"PASS","FAIL")</f>
        <v>PASS</v>
      </c>
      <c r="I28" s="84">
        <f>Table_1_UK!H8</f>
        <v>279704</v>
      </c>
      <c r="J28" s="85"/>
      <c r="K28" s="85"/>
      <c r="N28" s="89">
        <f t="shared" si="0"/>
        <v>0</v>
      </c>
      <c r="O28" s="89">
        <f t="shared" si="1"/>
        <v>0</v>
      </c>
    </row>
    <row r="29" spans="1:15" customFormat="1" ht="14.65" customHeight="1" x14ac:dyDescent="0.25">
      <c r="A29" s="117" t="s">
        <v>46</v>
      </c>
      <c r="B29" s="118" t="s">
        <v>47</v>
      </c>
      <c r="C29" s="118"/>
      <c r="D29" s="118"/>
      <c r="E29" s="117" t="s">
        <v>48</v>
      </c>
      <c r="F29" s="117"/>
      <c r="G29" s="117" t="s">
        <v>38</v>
      </c>
      <c r="H29" s="119" t="str">
        <f>IF(Table_1_UK!H9&lt;&gt;0,"PASS","FAIL")</f>
        <v>PASS</v>
      </c>
      <c r="I29" s="84">
        <f>Table_1_UK!H9</f>
        <v>168384</v>
      </c>
      <c r="J29" s="85"/>
      <c r="K29" s="85"/>
      <c r="N29" s="89">
        <f t="shared" si="0"/>
        <v>0</v>
      </c>
      <c r="O29" s="89">
        <f t="shared" si="1"/>
        <v>0</v>
      </c>
    </row>
    <row r="30" spans="1:15" customFormat="1" ht="14.65" customHeight="1" x14ac:dyDescent="0.25">
      <c r="A30" s="117" t="s">
        <v>49</v>
      </c>
      <c r="B30" s="118" t="s">
        <v>50</v>
      </c>
      <c r="C30" s="118"/>
      <c r="D30" s="118"/>
      <c r="E30" s="117" t="s">
        <v>51</v>
      </c>
      <c r="F30" s="117"/>
      <c r="G30" s="117" t="s">
        <v>45</v>
      </c>
      <c r="H30" s="119" t="str">
        <f>IF(Table_1_UK!H10&lt;&gt;0,"PASS","FAIL")</f>
        <v>PASS</v>
      </c>
      <c r="I30" s="84">
        <f>Table_1_UK!H10</f>
        <v>14593</v>
      </c>
      <c r="J30" s="85"/>
      <c r="K30" s="85"/>
      <c r="N30" s="89">
        <f t="shared" si="0"/>
        <v>0</v>
      </c>
      <c r="O30" s="89">
        <f t="shared" si="1"/>
        <v>0</v>
      </c>
    </row>
    <row r="31" spans="1:15" customFormat="1" ht="14.65" customHeight="1" x14ac:dyDescent="0.25">
      <c r="A31" s="117" t="s">
        <v>52</v>
      </c>
      <c r="B31" s="118" t="s">
        <v>53</v>
      </c>
      <c r="C31" s="118"/>
      <c r="D31" s="118"/>
      <c r="E31" s="117" t="s">
        <v>54</v>
      </c>
      <c r="F31" s="117"/>
      <c r="G31" s="117" t="s">
        <v>45</v>
      </c>
      <c r="H31" s="119" t="str">
        <f>IF(Table_1_UK!H11&lt;&gt;0,"PASS","FAIL")</f>
        <v>PASS</v>
      </c>
      <c r="I31" s="84">
        <f>Table_1_UK!H11</f>
        <v>23089</v>
      </c>
      <c r="J31" s="85"/>
      <c r="K31" s="116"/>
      <c r="N31" s="89">
        <f t="shared" si="0"/>
        <v>0</v>
      </c>
      <c r="O31" s="89">
        <f t="shared" si="1"/>
        <v>0</v>
      </c>
    </row>
    <row r="32" spans="1:15" customFormat="1" ht="14.65" customHeight="1" x14ac:dyDescent="0.25">
      <c r="A32" s="117" t="s">
        <v>55</v>
      </c>
      <c r="B32" s="118" t="s">
        <v>56</v>
      </c>
      <c r="C32" s="118"/>
      <c r="D32" s="118"/>
      <c r="E32" s="117" t="s">
        <v>57</v>
      </c>
      <c r="F32" s="117"/>
      <c r="G32" s="117" t="s">
        <v>38</v>
      </c>
      <c r="H32" s="119" t="str">
        <f>IF(Table_1_UK!H12&lt;&gt;0,"PASS","FAIL")</f>
        <v>PASS</v>
      </c>
      <c r="I32" s="84">
        <f>Table_1_UK!H12</f>
        <v>984437</v>
      </c>
      <c r="J32" s="85"/>
      <c r="K32" s="85"/>
      <c r="N32" s="89">
        <f t="shared" si="0"/>
        <v>0</v>
      </c>
      <c r="O32" s="89">
        <f t="shared" si="1"/>
        <v>0</v>
      </c>
    </row>
    <row r="33" spans="1:15" customFormat="1" ht="14.65" customHeight="1" x14ac:dyDescent="0.25">
      <c r="A33" s="117" t="s">
        <v>58</v>
      </c>
      <c r="B33" s="118" t="s">
        <v>59</v>
      </c>
      <c r="C33" s="118"/>
      <c r="D33" s="118"/>
      <c r="E33" s="117" t="s">
        <v>60</v>
      </c>
      <c r="F33" s="117"/>
      <c r="G33" s="117" t="s">
        <v>38</v>
      </c>
      <c r="H33" s="119" t="str">
        <f>IF(Table_1_UK!I12&lt;&gt;0,"PASS","FAIL")</f>
        <v>PASS</v>
      </c>
      <c r="I33" s="84">
        <f>Table_1_UK!I12</f>
        <v>928847</v>
      </c>
      <c r="J33" s="85"/>
      <c r="K33" s="85"/>
      <c r="N33" s="89">
        <f t="shared" si="0"/>
        <v>0</v>
      </c>
      <c r="O33" s="89">
        <f t="shared" si="1"/>
        <v>0</v>
      </c>
    </row>
    <row r="34" spans="1:15" customFormat="1" ht="14.65" customHeight="1" x14ac:dyDescent="0.25">
      <c r="A34" s="117" t="s">
        <v>61</v>
      </c>
      <c r="B34" s="118" t="s">
        <v>62</v>
      </c>
      <c r="C34" s="118"/>
      <c r="D34" s="118"/>
      <c r="E34" s="117" t="s">
        <v>63</v>
      </c>
      <c r="F34" s="117"/>
      <c r="G34" s="117" t="s">
        <v>38</v>
      </c>
      <c r="H34" s="119" t="str">
        <f>IF(Table_1_UK!H20&lt;&gt;0,"PASS","FAIL")</f>
        <v>PASS</v>
      </c>
      <c r="I34" s="84">
        <f>Table_1_UK!H20</f>
        <v>956988</v>
      </c>
      <c r="J34" s="85"/>
      <c r="K34" s="85"/>
      <c r="N34" s="89">
        <f t="shared" si="0"/>
        <v>0</v>
      </c>
      <c r="O34" s="89">
        <f t="shared" si="1"/>
        <v>0</v>
      </c>
    </row>
    <row r="35" spans="1:15" customFormat="1" ht="14.65" customHeight="1" x14ac:dyDescent="0.25">
      <c r="A35" s="117" t="s">
        <v>64</v>
      </c>
      <c r="B35" s="118" t="s">
        <v>65</v>
      </c>
      <c r="C35" s="118"/>
      <c r="D35" s="118"/>
      <c r="E35" s="117" t="s">
        <v>66</v>
      </c>
      <c r="F35" s="117"/>
      <c r="G35" s="117" t="s">
        <v>38</v>
      </c>
      <c r="H35" s="119" t="str">
        <f>IF(Table_1_UK!I20&lt;&gt;0,"PASS","FAIL")</f>
        <v>PASS</v>
      </c>
      <c r="I35" s="84">
        <f>Table_1_UK!I20</f>
        <v>872645</v>
      </c>
      <c r="J35" s="85"/>
      <c r="K35" s="85"/>
      <c r="N35" s="89">
        <f t="shared" si="0"/>
        <v>0</v>
      </c>
      <c r="O35" s="89">
        <f t="shared" si="1"/>
        <v>0</v>
      </c>
    </row>
    <row r="36" spans="1:15" customFormat="1" ht="30" customHeight="1" x14ac:dyDescent="0.25">
      <c r="A36" s="117" t="s">
        <v>67</v>
      </c>
      <c r="B36" s="609" t="s">
        <v>68</v>
      </c>
      <c r="C36" s="609"/>
      <c r="D36" s="609"/>
      <c r="E36" s="107" t="s">
        <v>69</v>
      </c>
      <c r="F36" s="117"/>
      <c r="G36" s="117" t="s">
        <v>45</v>
      </c>
      <c r="H36" s="119" t="str">
        <f>IF(AND(OR(Table_1_UK!H32=0,Table_5_UK!T61&lt;&gt;0),OR(Table_5_UK!T61=0,Table_1_UK!H32&lt;&gt;0)),"PASS","FAIL")</f>
        <v>PASS</v>
      </c>
      <c r="I36" s="84" t="str">
        <f>(Table_1_UK!H32&amp;", "&amp;Table_5_UK!T61)</f>
        <v>0, 0</v>
      </c>
      <c r="J36" s="85"/>
      <c r="K36" s="85"/>
      <c r="N36" s="89">
        <f t="shared" si="0"/>
        <v>0</v>
      </c>
      <c r="O36" s="89">
        <f t="shared" si="1"/>
        <v>0</v>
      </c>
    </row>
    <row r="37" spans="1:15" customFormat="1" ht="26.25" customHeight="1" x14ac:dyDescent="0.25">
      <c r="A37" s="117" t="s">
        <v>70</v>
      </c>
      <c r="B37" s="612" t="s">
        <v>71</v>
      </c>
      <c r="C37" s="612"/>
      <c r="D37" s="612"/>
      <c r="E37" s="121" t="s">
        <v>72</v>
      </c>
      <c r="F37" s="122"/>
      <c r="G37" s="119" t="s">
        <v>38</v>
      </c>
      <c r="H37" s="119" t="str">
        <f>IF(Table_1_UK!H43=Table_1_UK!H52,"PASS","FAIL")</f>
        <v>PASS</v>
      </c>
      <c r="I37" s="84" t="str">
        <f>(Table_1_UK!H43&amp;", "&amp;Table_1_UK!H52)</f>
        <v>170961, 170961</v>
      </c>
      <c r="J37" s="85"/>
      <c r="K37" s="123"/>
      <c r="N37" s="89">
        <f t="shared" si="0"/>
        <v>0</v>
      </c>
      <c r="O37" s="89">
        <f t="shared" si="1"/>
        <v>0</v>
      </c>
    </row>
    <row r="38" spans="1:15" customFormat="1" ht="15.6" customHeight="1" x14ac:dyDescent="0.25">
      <c r="A38" s="124" t="s">
        <v>73</v>
      </c>
      <c r="B38" s="609" t="s">
        <v>74</v>
      </c>
      <c r="C38" s="609"/>
      <c r="D38" s="609"/>
      <c r="E38" s="119" t="s">
        <v>75</v>
      </c>
      <c r="F38" s="119"/>
      <c r="G38" s="119" t="s">
        <v>38</v>
      </c>
      <c r="H38" s="125" t="str">
        <f>IF(AND(SUM(Table_1_UK!H41)&lt;&gt;0,ISBLANK(Table_1_UK!M41)),"FAIL","PASS")</f>
        <v>PASS</v>
      </c>
      <c r="I38" s="84" t="str">
        <f>Table_1_UK!H41&amp;", "&amp;Table_1_UK!M41</f>
        <v xml:space="preserve">0, </v>
      </c>
      <c r="J38" s="85"/>
      <c r="K38" s="123"/>
      <c r="N38" s="89">
        <f t="shared" si="0"/>
        <v>0</v>
      </c>
      <c r="O38" s="89">
        <f t="shared" si="1"/>
        <v>0</v>
      </c>
    </row>
    <row r="39" spans="1:15" customFormat="1" ht="15.6" customHeight="1" x14ac:dyDescent="0.25">
      <c r="A39" s="124" t="s">
        <v>76</v>
      </c>
      <c r="B39" s="609" t="s">
        <v>77</v>
      </c>
      <c r="C39" s="609"/>
      <c r="D39" s="609"/>
      <c r="E39" s="119" t="s">
        <v>75</v>
      </c>
      <c r="F39" s="119"/>
      <c r="G39" s="119" t="s">
        <v>38</v>
      </c>
      <c r="H39" s="125" t="str">
        <f>IF(AND(SUM(Table_1_UK!H41)=0,NOT(ISBLANK(Table_1_UK!M41))),"FAIL","PASS")</f>
        <v>PASS</v>
      </c>
      <c r="I39" s="126">
        <f>Table_1_UK!H41</f>
        <v>0</v>
      </c>
      <c r="J39" s="85"/>
      <c r="K39" s="123"/>
      <c r="N39" s="89">
        <f t="shared" si="0"/>
        <v>0</v>
      </c>
      <c r="O39" s="89">
        <f t="shared" si="1"/>
        <v>0</v>
      </c>
    </row>
    <row r="40" spans="1:15" customFormat="1" ht="15.6" customHeight="1" x14ac:dyDescent="0.25">
      <c r="A40" s="124" t="s">
        <v>78</v>
      </c>
      <c r="B40" s="609" t="s">
        <v>79</v>
      </c>
      <c r="C40" s="609"/>
      <c r="D40" s="609"/>
      <c r="E40" s="119" t="s">
        <v>80</v>
      </c>
      <c r="F40" s="119"/>
      <c r="G40" s="119" t="s">
        <v>45</v>
      </c>
      <c r="H40" s="125" t="str">
        <f>IF((ABS(Table_1_UK!H43-(Table_3_UK!H63-Table_3_UK!I63)))&gt;5, "FAIL", "PASS")</f>
        <v>PASS</v>
      </c>
      <c r="I40" s="126" t="str">
        <f>Table_1_UK!H43&amp;", "&amp;Table_3_UK!H63&amp;", "&amp;Table_3_UK!I63</f>
        <v>170961, 2216900, 2045939</v>
      </c>
      <c r="J40" s="85"/>
      <c r="K40" s="123"/>
      <c r="N40" s="89">
        <f t="shared" si="0"/>
        <v>0</v>
      </c>
      <c r="O40" s="89">
        <f t="shared" si="1"/>
        <v>0</v>
      </c>
    </row>
    <row r="41" spans="1:15" s="142" customFormat="1" ht="15.6" customHeight="1" x14ac:dyDescent="0.2">
      <c r="A41" s="117" t="s">
        <v>81</v>
      </c>
      <c r="B41" s="609" t="s">
        <v>82</v>
      </c>
      <c r="C41" s="609"/>
      <c r="D41" s="609"/>
      <c r="E41" s="117" t="s">
        <v>83</v>
      </c>
      <c r="F41" s="117"/>
      <c r="G41" s="119" t="s">
        <v>45</v>
      </c>
      <c r="H41" s="119" t="str">
        <f>IF(Table_2_UK!N11=0,"PASS","FAIL")</f>
        <v>PASS</v>
      </c>
      <c r="I41" s="84">
        <f>Table_2_UK!N11</f>
        <v>0</v>
      </c>
      <c r="J41" s="116"/>
      <c r="K41" s="116"/>
      <c r="L41" s="116"/>
      <c r="M41" s="116"/>
      <c r="N41" s="89">
        <f t="shared" si="0"/>
        <v>0</v>
      </c>
      <c r="O41" s="89">
        <f t="shared" si="1"/>
        <v>0</v>
      </c>
    </row>
    <row r="42" spans="1:15" s="142" customFormat="1" ht="15.6" customHeight="1" x14ac:dyDescent="0.2">
      <c r="A42" s="117" t="s">
        <v>84</v>
      </c>
      <c r="B42" s="609" t="s">
        <v>85</v>
      </c>
      <c r="C42" s="609"/>
      <c r="D42" s="609"/>
      <c r="E42" s="117" t="s">
        <v>86</v>
      </c>
      <c r="F42" s="117"/>
      <c r="G42" s="119" t="s">
        <v>38</v>
      </c>
      <c r="H42" s="119" t="str">
        <f>IF(Table_2_UK!N20=0,"PASS","FAIL")</f>
        <v>PASS</v>
      </c>
      <c r="I42" s="84">
        <f>Table_2_UK!N20</f>
        <v>0</v>
      </c>
      <c r="J42" s="116"/>
      <c r="K42" s="116"/>
      <c r="L42" s="116"/>
      <c r="M42" s="116"/>
      <c r="N42" s="89">
        <f t="shared" si="0"/>
        <v>0</v>
      </c>
      <c r="O42" s="89">
        <f t="shared" si="1"/>
        <v>0</v>
      </c>
    </row>
    <row r="43" spans="1:15" customFormat="1" ht="15.6" customHeight="1" x14ac:dyDescent="0.25">
      <c r="A43" s="117" t="s">
        <v>87</v>
      </c>
      <c r="B43" s="118" t="s">
        <v>88</v>
      </c>
      <c r="C43" s="118"/>
      <c r="D43" s="118"/>
      <c r="E43" s="117" t="s">
        <v>89</v>
      </c>
      <c r="F43" s="117"/>
      <c r="G43" s="117" t="s">
        <v>38</v>
      </c>
      <c r="H43" s="119" t="str">
        <f>IF(Table_3_UK!H63&lt;&gt;0,"PASS","FAIL")</f>
        <v>PASS</v>
      </c>
      <c r="I43" s="84">
        <f>Table_3_UK!H63</f>
        <v>2216900</v>
      </c>
      <c r="J43" s="85"/>
      <c r="K43" s="85"/>
      <c r="N43" s="89">
        <f t="shared" si="0"/>
        <v>0</v>
      </c>
      <c r="O43" s="89">
        <f t="shared" si="1"/>
        <v>0</v>
      </c>
    </row>
    <row r="44" spans="1:15" customFormat="1" ht="15.6" customHeight="1" x14ac:dyDescent="0.25">
      <c r="A44" s="117" t="s">
        <v>90</v>
      </c>
      <c r="B44" s="118" t="s">
        <v>91</v>
      </c>
      <c r="C44" s="118"/>
      <c r="D44" s="118"/>
      <c r="E44" s="117" t="s">
        <v>92</v>
      </c>
      <c r="F44" s="117"/>
      <c r="G44" s="117" t="s">
        <v>38</v>
      </c>
      <c r="H44" s="119" t="str">
        <f>IF(Table_3_UK!I63&lt;&gt;0,"PASS","FAIL")</f>
        <v>PASS</v>
      </c>
      <c r="I44" s="84">
        <f>Table_3_UK!I63</f>
        <v>2045939</v>
      </c>
      <c r="J44" s="85"/>
      <c r="K44" s="85"/>
      <c r="N44" s="89">
        <f t="shared" si="0"/>
        <v>0</v>
      </c>
      <c r="O44" s="89">
        <f t="shared" si="1"/>
        <v>0</v>
      </c>
    </row>
    <row r="45" spans="1:15" customFormat="1" ht="15.6" customHeight="1" x14ac:dyDescent="0.25">
      <c r="A45" s="117" t="s">
        <v>93</v>
      </c>
      <c r="B45" s="120" t="s">
        <v>94</v>
      </c>
      <c r="C45" s="120"/>
      <c r="D45" s="120"/>
      <c r="E45" s="117" t="s">
        <v>95</v>
      </c>
      <c r="F45" s="117"/>
      <c r="G45" s="117" t="s">
        <v>38</v>
      </c>
      <c r="H45" s="119" t="str">
        <f>IF(Table_3_UK!H15&lt;&gt;0,"PASS","FAIL")</f>
        <v>PASS</v>
      </c>
      <c r="I45" s="84">
        <f>Table_3_UK!H15</f>
        <v>2525012</v>
      </c>
      <c r="J45" s="85"/>
      <c r="K45" s="85"/>
      <c r="N45" s="89">
        <f t="shared" si="0"/>
        <v>0</v>
      </c>
      <c r="O45" s="89">
        <f t="shared" si="1"/>
        <v>0</v>
      </c>
    </row>
    <row r="46" spans="1:15" customFormat="1" ht="15.6" customHeight="1" x14ac:dyDescent="0.25">
      <c r="A46" s="117" t="s">
        <v>96</v>
      </c>
      <c r="B46" s="120" t="s">
        <v>97</v>
      </c>
      <c r="C46" s="120"/>
      <c r="D46" s="120"/>
      <c r="E46" s="117" t="s">
        <v>98</v>
      </c>
      <c r="F46" s="117"/>
      <c r="G46" s="117" t="s">
        <v>38</v>
      </c>
      <c r="H46" s="119" t="str">
        <f>IF(Table_3_UK!I15&lt;&gt;0,"PASS","FAIL")</f>
        <v>PASS</v>
      </c>
      <c r="I46" s="84">
        <f>Table_3_UK!I15</f>
        <v>2359854</v>
      </c>
      <c r="J46" s="85"/>
      <c r="K46" s="85"/>
      <c r="N46" s="89">
        <f t="shared" si="0"/>
        <v>0</v>
      </c>
      <c r="O46" s="89">
        <f t="shared" si="1"/>
        <v>0</v>
      </c>
    </row>
    <row r="47" spans="1:15" customFormat="1" ht="15.6" customHeight="1" x14ac:dyDescent="0.25">
      <c r="A47" s="117" t="s">
        <v>99</v>
      </c>
      <c r="B47" s="118" t="s">
        <v>100</v>
      </c>
      <c r="C47" s="118"/>
      <c r="D47" s="120"/>
      <c r="E47" s="117" t="s">
        <v>101</v>
      </c>
      <c r="F47" s="117"/>
      <c r="G47" s="117" t="s">
        <v>38</v>
      </c>
      <c r="H47" s="119" t="str">
        <f>IF(Table_3_UK!H23&lt;&gt;0,"PASS","FAIL")</f>
        <v>PASS</v>
      </c>
      <c r="I47" s="84">
        <f>Table_3_UK!H23</f>
        <v>552451</v>
      </c>
      <c r="J47" s="85"/>
      <c r="K47" s="85"/>
      <c r="N47" s="89">
        <f t="shared" si="0"/>
        <v>0</v>
      </c>
      <c r="O47" s="89">
        <f t="shared" si="1"/>
        <v>0</v>
      </c>
    </row>
    <row r="48" spans="1:15" customFormat="1" ht="15.6" customHeight="1" x14ac:dyDescent="0.25">
      <c r="A48" s="117" t="s">
        <v>102</v>
      </c>
      <c r="B48" s="118" t="s">
        <v>103</v>
      </c>
      <c r="C48" s="118"/>
      <c r="D48" s="120"/>
      <c r="E48" s="117" t="s">
        <v>104</v>
      </c>
      <c r="F48" s="117"/>
      <c r="G48" s="117" t="s">
        <v>38</v>
      </c>
      <c r="H48" s="119" t="str">
        <f>IF(Table_3_UK!I23&lt;&gt;0,"PASS","FAIL")</f>
        <v>PASS</v>
      </c>
      <c r="I48" s="84">
        <f>Table_3_UK!I23</f>
        <v>570821</v>
      </c>
      <c r="J48" s="85"/>
      <c r="K48" s="85"/>
      <c r="N48" s="89">
        <f t="shared" si="0"/>
        <v>0</v>
      </c>
      <c r="O48" s="89">
        <f t="shared" si="1"/>
        <v>0</v>
      </c>
    </row>
    <row r="49" spans="1:15" customFormat="1" ht="15.6" customHeight="1" x14ac:dyDescent="0.25">
      <c r="A49" s="117" t="s">
        <v>105</v>
      </c>
      <c r="B49" s="609" t="s">
        <v>106</v>
      </c>
      <c r="C49" s="609"/>
      <c r="D49" s="609"/>
      <c r="E49" s="117" t="s">
        <v>107</v>
      </c>
      <c r="F49" s="117"/>
      <c r="G49" s="117" t="s">
        <v>45</v>
      </c>
      <c r="H49" s="119" t="str">
        <f>IF(Table_3_UK!H31&lt;&gt;0,"PASS","FAIL")</f>
        <v>PASS</v>
      </c>
      <c r="I49" s="84">
        <f>Table_3_UK!H31</f>
        <v>310936</v>
      </c>
      <c r="J49" s="85"/>
      <c r="K49" s="85"/>
      <c r="N49" s="89">
        <f t="shared" si="0"/>
        <v>0</v>
      </c>
      <c r="O49" s="89">
        <f t="shared" si="1"/>
        <v>0</v>
      </c>
    </row>
    <row r="50" spans="1:15" customFormat="1" ht="15.6" customHeight="1" x14ac:dyDescent="0.25">
      <c r="A50" s="117" t="s">
        <v>108</v>
      </c>
      <c r="B50" s="609" t="s">
        <v>109</v>
      </c>
      <c r="C50" s="609"/>
      <c r="D50" s="609"/>
      <c r="E50" s="117" t="s">
        <v>110</v>
      </c>
      <c r="F50" s="117"/>
      <c r="G50" s="117" t="s">
        <v>45</v>
      </c>
      <c r="H50" s="119" t="str">
        <f>IF(Table_3_UK!I31&lt;&gt;0,"PASS","FAIL")</f>
        <v>PASS</v>
      </c>
      <c r="I50" s="84">
        <f>Table_3_UK!I31</f>
        <v>304527</v>
      </c>
      <c r="J50" s="85"/>
      <c r="K50" s="85"/>
      <c r="N50" s="89">
        <f t="shared" si="0"/>
        <v>0</v>
      </c>
      <c r="O50" s="89">
        <f t="shared" si="1"/>
        <v>0</v>
      </c>
    </row>
    <row r="51" spans="1:15" customFormat="1" ht="15.6" customHeight="1" x14ac:dyDescent="0.25">
      <c r="A51" s="117" t="s">
        <v>111</v>
      </c>
      <c r="B51" s="118" t="s">
        <v>112</v>
      </c>
      <c r="C51" s="118"/>
      <c r="D51" s="118"/>
      <c r="E51" s="117" t="s">
        <v>113</v>
      </c>
      <c r="F51" s="117"/>
      <c r="G51" s="117" t="s">
        <v>38</v>
      </c>
      <c r="H51" s="125" t="str">
        <f>IF(Table_3_UK!H51=Table_3_UK!H63,"PASS","FAIL")</f>
        <v>PASS</v>
      </c>
      <c r="I51" s="84" t="str">
        <f>(Table_3_UK!H51&amp;", "&amp;Table_3_UK!H63)</f>
        <v>2216900, 2216900</v>
      </c>
      <c r="K51" s="85"/>
      <c r="N51" s="89">
        <f t="shared" si="0"/>
        <v>0</v>
      </c>
      <c r="O51" s="89">
        <f t="shared" si="1"/>
        <v>0</v>
      </c>
    </row>
    <row r="52" spans="1:15" customFormat="1" ht="15.6" customHeight="1" x14ac:dyDescent="0.25">
      <c r="A52" s="117" t="s">
        <v>114</v>
      </c>
      <c r="B52" s="118" t="s">
        <v>115</v>
      </c>
      <c r="C52" s="118"/>
      <c r="D52" s="118"/>
      <c r="E52" s="117" t="s">
        <v>116</v>
      </c>
      <c r="F52" s="117"/>
      <c r="G52" s="117" t="s">
        <v>38</v>
      </c>
      <c r="H52" s="125" t="str">
        <f>IF(Table_3_UK!I51=Table_3_UK!I63,"PASS","FAIL")</f>
        <v>PASS</v>
      </c>
      <c r="I52" s="84" t="str">
        <f>(Table_3_UK!I51&amp;", "&amp;Table_3_UK!I63)</f>
        <v>2045939, 2045939</v>
      </c>
      <c r="K52" s="85"/>
      <c r="N52" s="89">
        <f t="shared" si="0"/>
        <v>0</v>
      </c>
      <c r="O52" s="89">
        <f t="shared" si="1"/>
        <v>0</v>
      </c>
    </row>
    <row r="53" spans="1:15" customFormat="1" ht="15.6" customHeight="1" x14ac:dyDescent="0.25">
      <c r="A53" s="117" t="s">
        <v>117</v>
      </c>
      <c r="B53" s="127" t="s">
        <v>118</v>
      </c>
      <c r="C53" s="127"/>
      <c r="D53" s="118"/>
      <c r="E53" s="128" t="s">
        <v>119</v>
      </c>
      <c r="F53" s="128"/>
      <c r="G53" s="119" t="s">
        <v>38</v>
      </c>
      <c r="H53" s="119" t="str">
        <f>IF(Table_3_UK!H8&lt;=0,"PASS","FAIL")</f>
        <v>PASS</v>
      </c>
      <c r="I53" s="84">
        <f>Table_3_UK!H8</f>
        <v>0</v>
      </c>
      <c r="J53" s="85"/>
      <c r="K53" s="116"/>
      <c r="N53" s="89">
        <f t="shared" si="0"/>
        <v>0</v>
      </c>
      <c r="O53" s="89">
        <f t="shared" si="1"/>
        <v>0</v>
      </c>
    </row>
    <row r="54" spans="1:15" customFormat="1" ht="15.6" customHeight="1" x14ac:dyDescent="0.25">
      <c r="A54" s="117" t="s">
        <v>120</v>
      </c>
      <c r="B54" s="127" t="s">
        <v>121</v>
      </c>
      <c r="C54" s="127"/>
      <c r="D54" s="127"/>
      <c r="E54" s="128" t="s">
        <v>122</v>
      </c>
      <c r="F54" s="128"/>
      <c r="G54" s="119" t="s">
        <v>38</v>
      </c>
      <c r="H54" s="119" t="str">
        <f>IF(Table_3_UK!I8&lt;=0,"PASS","FAIL")</f>
        <v>PASS</v>
      </c>
      <c r="I54" s="84">
        <f>Table_3_UK!I8</f>
        <v>0</v>
      </c>
      <c r="J54" s="85"/>
      <c r="K54" s="116"/>
      <c r="N54" s="89">
        <f t="shared" si="0"/>
        <v>0</v>
      </c>
      <c r="O54" s="89">
        <f t="shared" si="1"/>
        <v>0</v>
      </c>
    </row>
    <row r="55" spans="1:15" customFormat="1" ht="15.6" customHeight="1" x14ac:dyDescent="0.25">
      <c r="A55" s="117" t="s">
        <v>123</v>
      </c>
      <c r="B55" s="118" t="s">
        <v>124</v>
      </c>
      <c r="C55" s="127"/>
      <c r="D55" s="127"/>
      <c r="E55" s="117" t="s">
        <v>125</v>
      </c>
      <c r="F55" s="117"/>
      <c r="G55" s="117" t="s">
        <v>38</v>
      </c>
      <c r="H55" s="119" t="str">
        <f>IF(Table_3_UK!H10&lt;&gt;0,"PASS","FAIL")</f>
        <v>PASS</v>
      </c>
      <c r="I55" s="126">
        <f>Table_3_UK!H10</f>
        <v>1741144</v>
      </c>
      <c r="J55" s="85"/>
      <c r="K55" s="85"/>
      <c r="N55" s="89">
        <f t="shared" si="0"/>
        <v>0</v>
      </c>
      <c r="O55" s="89">
        <f t="shared" si="1"/>
        <v>0</v>
      </c>
    </row>
    <row r="56" spans="1:15" customFormat="1" ht="15.6" customHeight="1" x14ac:dyDescent="0.25">
      <c r="A56" s="117" t="s">
        <v>126</v>
      </c>
      <c r="B56" s="118" t="s">
        <v>127</v>
      </c>
      <c r="C56" s="127"/>
      <c r="D56" s="127"/>
      <c r="E56" s="117" t="s">
        <v>128</v>
      </c>
      <c r="F56" s="117"/>
      <c r="G56" s="117" t="s">
        <v>38</v>
      </c>
      <c r="H56" s="119" t="str">
        <f>IF(Table_3_UK!I10&lt;&gt;0,"PASS","FAIL")</f>
        <v>PASS</v>
      </c>
      <c r="I56" s="126">
        <f>Table_3_UK!I10</f>
        <v>1617062</v>
      </c>
      <c r="J56" s="85"/>
      <c r="K56" s="85"/>
      <c r="N56" s="89">
        <f t="shared" si="0"/>
        <v>0</v>
      </c>
      <c r="O56" s="89">
        <f t="shared" si="1"/>
        <v>0</v>
      </c>
    </row>
    <row r="57" spans="1:15" customFormat="1" ht="15.6" customHeight="1" x14ac:dyDescent="0.25">
      <c r="A57" s="124" t="s">
        <v>129</v>
      </c>
      <c r="B57" s="118" t="s">
        <v>130</v>
      </c>
      <c r="C57" s="118"/>
      <c r="D57" s="118"/>
      <c r="E57" s="125" t="s">
        <v>131</v>
      </c>
      <c r="F57" s="125"/>
      <c r="G57" s="125" t="s">
        <v>38</v>
      </c>
      <c r="H57" s="125" t="str">
        <f>IF(AND(B4="S",(Table_3_UK!H20&lt;&gt;Table_3_Scotland!H11)),"FAIL","PASS")</f>
        <v>PASS</v>
      </c>
      <c r="I57" s="84" t="str">
        <f>Table_3_UK!H20&amp;", "&amp;Table_3_Scotland!H11</f>
        <v>180000, 180000</v>
      </c>
      <c r="J57" s="85"/>
      <c r="K57" s="116"/>
      <c r="N57" s="89">
        <f t="shared" si="0"/>
        <v>0</v>
      </c>
      <c r="O57" s="89">
        <f t="shared" si="1"/>
        <v>0</v>
      </c>
    </row>
    <row r="58" spans="1:15" customFormat="1" ht="15.6" customHeight="1" x14ac:dyDescent="0.25">
      <c r="A58" s="124" t="s">
        <v>132</v>
      </c>
      <c r="B58" s="118" t="s">
        <v>133</v>
      </c>
      <c r="C58" s="118"/>
      <c r="D58" s="118"/>
      <c r="E58" s="119" t="s">
        <v>134</v>
      </c>
      <c r="F58" s="119"/>
      <c r="G58" s="125" t="s">
        <v>38</v>
      </c>
      <c r="H58" s="125" t="str">
        <f>IF(AND(B4="S",(Table_3_UK!H21&lt;&gt;Table_3_Scotland!H19)),"FAIL","PASS")</f>
        <v>PASS</v>
      </c>
      <c r="I58" s="84" t="str">
        <f>Table_3_UK!H21&amp;", "&amp;Table_3_Scotland!H19</f>
        <v>236081, 236081</v>
      </c>
      <c r="J58" s="85"/>
      <c r="K58" s="116"/>
      <c r="N58" s="89">
        <f t="shared" ref="N58:N89" si="2">IF(AND(G58="Error",H58="FAIL"),1,0)</f>
        <v>0</v>
      </c>
      <c r="O58" s="89">
        <f t="shared" ref="O58:O89" si="3">IF(AND(G58="Warning",H58="FAIL"),1,0)</f>
        <v>0</v>
      </c>
    </row>
    <row r="59" spans="1:15" customFormat="1" ht="15.6" customHeight="1" x14ac:dyDescent="0.25">
      <c r="A59" s="124" t="s">
        <v>135</v>
      </c>
      <c r="B59" s="118" t="s">
        <v>136</v>
      </c>
      <c r="C59" s="118"/>
      <c r="D59" s="118"/>
      <c r="E59" s="119" t="s">
        <v>137</v>
      </c>
      <c r="F59" s="119"/>
      <c r="G59" s="125" t="s">
        <v>38</v>
      </c>
      <c r="H59" s="125" t="str">
        <f>IF(AND(B4="S",(Table_3_UK!I20&lt;&gt;Table_3_Scotland!I11)),"FAIL","PASS")</f>
        <v>PASS</v>
      </c>
      <c r="I59" s="84" t="str">
        <f>Table_3_UK!I20&amp;", "&amp;Table_3_Scotland!I11</f>
        <v>195000, 195000</v>
      </c>
      <c r="J59" s="85"/>
      <c r="K59" s="116"/>
      <c r="M59" s="85"/>
      <c r="N59" s="89">
        <f t="shared" si="2"/>
        <v>0</v>
      </c>
      <c r="O59" s="89">
        <f t="shared" si="3"/>
        <v>0</v>
      </c>
    </row>
    <row r="60" spans="1:15" customFormat="1" ht="15.6" customHeight="1" x14ac:dyDescent="0.25">
      <c r="A60" s="124" t="s">
        <v>138</v>
      </c>
      <c r="B60" s="118" t="s">
        <v>139</v>
      </c>
      <c r="C60" s="118"/>
      <c r="D60" s="118"/>
      <c r="E60" s="119" t="s">
        <v>140</v>
      </c>
      <c r="F60" s="119"/>
      <c r="G60" s="125" t="s">
        <v>38</v>
      </c>
      <c r="H60" s="125" t="str">
        <f>IF(AND(B4="S",(Table_3_UK!I21&lt;&gt;Table_3_Scotland!I19)),"FAIL","PASS")</f>
        <v>PASS</v>
      </c>
      <c r="I60" s="84" t="str">
        <f>Table_3_UK!I21&amp;", "&amp;Table_3_Scotland!I19</f>
        <v>250207, 250207</v>
      </c>
      <c r="J60" s="85"/>
      <c r="K60" s="116"/>
      <c r="N60" s="89">
        <f t="shared" si="2"/>
        <v>0</v>
      </c>
      <c r="O60" s="89">
        <f t="shared" si="3"/>
        <v>0</v>
      </c>
    </row>
    <row r="61" spans="1:15" customFormat="1" ht="15.6" customHeight="1" x14ac:dyDescent="0.25">
      <c r="A61" s="124" t="s">
        <v>141</v>
      </c>
      <c r="B61" s="118" t="s">
        <v>142</v>
      </c>
      <c r="C61" s="118"/>
      <c r="D61" s="118"/>
      <c r="E61" s="609" t="s">
        <v>143</v>
      </c>
      <c r="F61" s="609"/>
      <c r="G61" s="119" t="s">
        <v>38</v>
      </c>
      <c r="H61" s="125" t="str">
        <f>IF(AND(B4="S", OR(Table_3_Scotland!H11=0,Table_3_Scotland!I11=0,Table_3_Scotland!H19=0,Table_3_Scotland!I19=0)),"FAIL","PASS")</f>
        <v>PASS</v>
      </c>
      <c r="I61" s="84" t="str">
        <f>Table_3_Scotland!H11&amp;", "&amp;Table_3_Scotland!I11&amp;", "&amp;Table_3_Scotland!H19&amp;", "&amp;Table_3_Scotland!I19</f>
        <v>180000, 195000, 236081, 250207</v>
      </c>
      <c r="J61" s="129"/>
      <c r="K61" s="129"/>
      <c r="N61" s="89">
        <f t="shared" si="2"/>
        <v>0</v>
      </c>
      <c r="O61" s="89">
        <f t="shared" si="3"/>
        <v>0</v>
      </c>
    </row>
    <row r="62" spans="1:15" customFormat="1" ht="15.6" customHeight="1" x14ac:dyDescent="0.25">
      <c r="A62" s="124" t="s">
        <v>144</v>
      </c>
      <c r="B62" s="118" t="s">
        <v>145</v>
      </c>
      <c r="C62" s="118"/>
      <c r="D62" s="118"/>
      <c r="E62" s="609" t="s">
        <v>143</v>
      </c>
      <c r="F62" s="609"/>
      <c r="G62" s="119" t="s">
        <v>38</v>
      </c>
      <c r="H62" s="125" t="str">
        <f>IF(AND(OR(B4="E",B4="W",B4="N"),OR(Table_3_Scotland!H11&gt;0,Table_3_Scotland!I11&gt;0,Table_3_Scotland!H19&gt;0,Table_3_Scotland!I19&gt;0)),"FAIL","PASS")</f>
        <v>PASS</v>
      </c>
      <c r="I62" s="84" t="str">
        <f>Table_3_Scotland!H11&amp;", "&amp;Table_3_Scotland!I11&amp;", "&amp;Table_3_Scotland!H19&amp;", "&amp;Table_3_Scotland!I19</f>
        <v>180000, 195000, 236081, 250207</v>
      </c>
      <c r="J62" s="130"/>
      <c r="K62" s="130"/>
      <c r="N62" s="89">
        <f t="shared" si="2"/>
        <v>0</v>
      </c>
      <c r="O62" s="89">
        <f t="shared" si="3"/>
        <v>0</v>
      </c>
    </row>
    <row r="63" spans="1:15" customFormat="1" ht="15.6" customHeight="1" x14ac:dyDescent="0.25">
      <c r="A63" s="124" t="s">
        <v>146</v>
      </c>
      <c r="B63" s="609" t="s">
        <v>147</v>
      </c>
      <c r="C63" s="609"/>
      <c r="D63" s="609"/>
      <c r="E63" s="119" t="s">
        <v>148</v>
      </c>
      <c r="F63" s="119"/>
      <c r="G63" s="119" t="s">
        <v>38</v>
      </c>
      <c r="H63" s="125" t="str">
        <f>IF(AND(SUM(Table_4_UK!H22:I22)&lt;&gt;0,ISBLANK(Table_4_UK!N22)),"FAIL","PASS")</f>
        <v>PASS</v>
      </c>
      <c r="I63" s="84" t="str">
        <f>Table_4_UK!H22&amp;", "&amp;Table_4_UK!I22</f>
        <v>0, 0</v>
      </c>
      <c r="J63" s="85"/>
      <c r="K63" s="116"/>
      <c r="N63" s="89">
        <f t="shared" si="2"/>
        <v>0</v>
      </c>
      <c r="O63" s="89">
        <f t="shared" si="3"/>
        <v>0</v>
      </c>
    </row>
    <row r="64" spans="1:15" customFormat="1" ht="15.6" customHeight="1" x14ac:dyDescent="0.25">
      <c r="A64" s="124" t="s">
        <v>149</v>
      </c>
      <c r="B64" s="609" t="s">
        <v>150</v>
      </c>
      <c r="C64" s="609"/>
      <c r="D64" s="609"/>
      <c r="E64" s="119" t="s">
        <v>148</v>
      </c>
      <c r="F64" s="119"/>
      <c r="G64" s="119" t="s">
        <v>38</v>
      </c>
      <c r="H64" s="125" t="str">
        <f>IF(AND(SUM(Table_4_UK!H22:I22)=0,NOT(ISBLANK(Table_4_UK!N22))),"FAIL","PASS")</f>
        <v>PASS</v>
      </c>
      <c r="I64" s="84">
        <f>Table_4_UK!N22</f>
        <v>0</v>
      </c>
      <c r="J64" s="85"/>
      <c r="K64" s="116"/>
      <c r="N64" s="89">
        <f t="shared" si="2"/>
        <v>0</v>
      </c>
      <c r="O64" s="89">
        <f t="shared" si="3"/>
        <v>0</v>
      </c>
    </row>
    <row r="65" spans="1:15" customFormat="1" ht="15.6" customHeight="1" x14ac:dyDescent="0.25">
      <c r="A65" s="131" t="s">
        <v>151</v>
      </c>
      <c r="B65" s="132" t="s">
        <v>152</v>
      </c>
      <c r="C65" s="132"/>
      <c r="D65" s="132"/>
      <c r="E65" s="128" t="s">
        <v>153</v>
      </c>
      <c r="F65" s="128"/>
      <c r="G65" s="128" t="s">
        <v>45</v>
      </c>
      <c r="H65" s="125" t="str">
        <f>IF(Table_4_UK!H29&lt;&gt;0,"PASS","FAIL")</f>
        <v>PASS</v>
      </c>
      <c r="I65" s="126">
        <f>Table_4_UK!H29</f>
        <v>-43818</v>
      </c>
      <c r="J65" s="85"/>
      <c r="K65" s="116"/>
      <c r="N65" s="89">
        <f t="shared" si="2"/>
        <v>0</v>
      </c>
      <c r="O65" s="89">
        <f t="shared" si="3"/>
        <v>0</v>
      </c>
    </row>
    <row r="66" spans="1:15" customFormat="1" ht="15.6" customHeight="1" x14ac:dyDescent="0.25">
      <c r="A66" s="131" t="s">
        <v>154</v>
      </c>
      <c r="B66" s="132" t="s">
        <v>155</v>
      </c>
      <c r="C66" s="132"/>
      <c r="D66" s="132"/>
      <c r="E66" s="128" t="s">
        <v>156</v>
      </c>
      <c r="F66" s="128"/>
      <c r="G66" s="128" t="s">
        <v>45</v>
      </c>
      <c r="H66" s="125" t="str">
        <f>IF(Table_4_UK!I29&lt;&gt;0,"PASS","FAIL")</f>
        <v>PASS</v>
      </c>
      <c r="I66" s="126">
        <f>Table_4_UK!I29</f>
        <v>-42253</v>
      </c>
      <c r="J66" s="85"/>
      <c r="K66" s="116"/>
      <c r="N66" s="89">
        <f t="shared" si="2"/>
        <v>0</v>
      </c>
      <c r="O66" s="89">
        <f t="shared" si="3"/>
        <v>0</v>
      </c>
    </row>
    <row r="67" spans="1:15" customFormat="1" ht="15.6" customHeight="1" x14ac:dyDescent="0.25">
      <c r="A67" s="131" t="s">
        <v>157</v>
      </c>
      <c r="B67" s="132" t="s">
        <v>158</v>
      </c>
      <c r="C67" s="132"/>
      <c r="D67" s="132"/>
      <c r="E67" s="128" t="s">
        <v>159</v>
      </c>
      <c r="F67" s="128"/>
      <c r="G67" s="128" t="s">
        <v>45</v>
      </c>
      <c r="H67" s="125" t="str">
        <f>IF(Table_4_UK!H36&lt;&gt;0,"PASS","FAIL")</f>
        <v>PASS</v>
      </c>
      <c r="I67" s="126">
        <f>Table_4_UK!H36</f>
        <v>43818</v>
      </c>
      <c r="J67" s="85"/>
      <c r="K67" s="116"/>
      <c r="N67" s="89">
        <f t="shared" si="2"/>
        <v>0</v>
      </c>
      <c r="O67" s="89">
        <f t="shared" si="3"/>
        <v>0</v>
      </c>
    </row>
    <row r="68" spans="1:15" customFormat="1" ht="15.6" customHeight="1" x14ac:dyDescent="0.25">
      <c r="A68" s="131" t="s">
        <v>160</v>
      </c>
      <c r="B68" s="132" t="s">
        <v>161</v>
      </c>
      <c r="C68" s="132"/>
      <c r="D68" s="132"/>
      <c r="E68" s="128" t="s">
        <v>162</v>
      </c>
      <c r="F68" s="128"/>
      <c r="G68" s="128" t="s">
        <v>45</v>
      </c>
      <c r="H68" s="125" t="str">
        <f>IF(Table_4_UK!I36&lt;&gt;0,"PASS","FAIL")</f>
        <v>PASS</v>
      </c>
      <c r="I68" s="126">
        <f>Table_4_UK!I36</f>
        <v>42253</v>
      </c>
      <c r="J68" s="85"/>
      <c r="K68" s="116"/>
      <c r="N68" s="89">
        <f t="shared" si="2"/>
        <v>0</v>
      </c>
      <c r="O68" s="89">
        <f t="shared" si="3"/>
        <v>0</v>
      </c>
    </row>
    <row r="69" spans="1:15" customFormat="1" ht="15.6" customHeight="1" x14ac:dyDescent="0.25">
      <c r="A69" s="131" t="s">
        <v>163</v>
      </c>
      <c r="B69" s="612" t="s">
        <v>164</v>
      </c>
      <c r="C69" s="612"/>
      <c r="D69" s="612"/>
      <c r="E69" s="128" t="s">
        <v>165</v>
      </c>
      <c r="F69" s="128"/>
      <c r="G69" s="128" t="s">
        <v>38</v>
      </c>
      <c r="H69" s="125" t="str">
        <f>IF((ABS(Table_3_UK!H21-Table_3_UK!H26 - Table_4_UK!H60))&gt;5,"FAIL","PASS")</f>
        <v>PASS</v>
      </c>
      <c r="I69" s="126" t="str">
        <f>CONCATENATE(Table_3_UK!H21, ", ",Table_3_UK!H26,", ", Table_4_UK!H60)</f>
        <v>236081, 0, 236081</v>
      </c>
      <c r="J69" s="85"/>
      <c r="K69" s="116"/>
      <c r="N69" s="89">
        <f t="shared" si="2"/>
        <v>0</v>
      </c>
      <c r="O69" s="89">
        <f t="shared" si="3"/>
        <v>0</v>
      </c>
    </row>
    <row r="70" spans="1:15" customFormat="1" ht="15.6" customHeight="1" x14ac:dyDescent="0.25">
      <c r="A70" s="131" t="s">
        <v>166</v>
      </c>
      <c r="B70" s="612" t="s">
        <v>167</v>
      </c>
      <c r="C70" s="612"/>
      <c r="D70" s="612"/>
      <c r="E70" s="128" t="s">
        <v>168</v>
      </c>
      <c r="F70" s="128"/>
      <c r="G70" s="128" t="s">
        <v>38</v>
      </c>
      <c r="H70" s="125" t="str">
        <f>IF((ABS(Table_3_UK!I21-Table_3_UK!I26 - Table_4_UK!I60))&gt;5,"FAIL","PASS")</f>
        <v>PASS</v>
      </c>
      <c r="I70" s="126" t="str">
        <f>CONCATENATE(Table_3_UK!I21, ", ",Table_3_UK!I26,", ", Table_4_UK!I60)</f>
        <v>250207, 0, 250207</v>
      </c>
      <c r="J70" s="85"/>
      <c r="K70" s="116"/>
      <c r="N70" s="89">
        <f t="shared" si="2"/>
        <v>0</v>
      </c>
      <c r="O70" s="89">
        <f t="shared" si="3"/>
        <v>0</v>
      </c>
    </row>
    <row r="71" spans="1:15" customFormat="1" ht="15.6" customHeight="1" x14ac:dyDescent="0.25">
      <c r="A71" s="131" t="s">
        <v>169</v>
      </c>
      <c r="B71" s="614" t="s">
        <v>170</v>
      </c>
      <c r="C71" s="614"/>
      <c r="D71" s="614"/>
      <c r="E71" s="128" t="s">
        <v>171</v>
      </c>
      <c r="F71" s="128"/>
      <c r="G71" s="128" t="s">
        <v>45</v>
      </c>
      <c r="H71" s="125" t="str">
        <f>IF(Table_4_UK!H40&lt;Table_4_UK!H41,"PASS","FAIL")</f>
        <v>PASS</v>
      </c>
      <c r="I71" s="126" t="str">
        <f>Table_4_UK!H40&amp;", "&amp;Table_4_UK!H41</f>
        <v>-199151, 0</v>
      </c>
      <c r="J71" s="85"/>
      <c r="K71" s="116"/>
      <c r="N71" s="89">
        <f t="shared" si="2"/>
        <v>0</v>
      </c>
      <c r="O71" s="89">
        <f t="shared" si="3"/>
        <v>0</v>
      </c>
    </row>
    <row r="72" spans="1:15" customFormat="1" ht="15.6" customHeight="1" x14ac:dyDescent="0.25">
      <c r="A72" s="131" t="s">
        <v>172</v>
      </c>
      <c r="B72" s="614" t="s">
        <v>173</v>
      </c>
      <c r="C72" s="614"/>
      <c r="D72" s="614"/>
      <c r="E72" s="128" t="s">
        <v>174</v>
      </c>
      <c r="F72" s="128"/>
      <c r="G72" s="128" t="s">
        <v>38</v>
      </c>
      <c r="H72" s="125" t="str">
        <f>IF(OR(Table_1_UK!H18=Table_4_UK!H9,Table_1_UK!H18=(Table_4_UK!H9+Table_4_UK!H10)),"PASS","FAIL")</f>
        <v>PASS</v>
      </c>
      <c r="I72" s="126" t="str">
        <f>Table_4_UK!H9&amp;", "&amp;Table_4_UK!H10&amp;", "&amp;Table_1_UK!H18</f>
        <v>60197, 0, 60197</v>
      </c>
      <c r="J72" s="85"/>
      <c r="K72" s="116"/>
      <c r="N72" s="89">
        <f t="shared" si="2"/>
        <v>0</v>
      </c>
      <c r="O72" s="89">
        <f t="shared" si="3"/>
        <v>0</v>
      </c>
    </row>
    <row r="73" spans="1:15" customFormat="1" ht="15.6" customHeight="1" x14ac:dyDescent="0.25">
      <c r="A73" s="119" t="s">
        <v>175</v>
      </c>
      <c r="B73" s="612" t="s">
        <v>176</v>
      </c>
      <c r="C73" s="612"/>
      <c r="D73" s="612"/>
      <c r="E73" s="128" t="s">
        <v>177</v>
      </c>
      <c r="F73" s="128"/>
      <c r="G73" s="119" t="s">
        <v>45</v>
      </c>
      <c r="H73" s="119" t="str">
        <f>IF(AND(OR(Table_5_UK!AD61=0,Table_8_UK!O97&lt;&gt;0),OR(Table_8_UK!O97=0,Table_5_UK!AD61&lt;&gt;0)),"PASS","FAIL")</f>
        <v>PASS</v>
      </c>
      <c r="I73" s="84" t="str">
        <f>Table_5_UK!AD61&amp;", "&amp;Table_8_UK!O97</f>
        <v>279704, 233636</v>
      </c>
      <c r="J73" s="85"/>
      <c r="K73" s="85"/>
      <c r="N73" s="89">
        <f t="shared" si="2"/>
        <v>0</v>
      </c>
      <c r="O73" s="89">
        <f t="shared" si="3"/>
        <v>0</v>
      </c>
    </row>
    <row r="74" spans="1:15" customFormat="1" ht="15.6" customHeight="1" x14ac:dyDescent="0.25">
      <c r="A74" s="128" t="s">
        <v>178</v>
      </c>
      <c r="B74" s="612" t="s">
        <v>179</v>
      </c>
      <c r="C74" s="612"/>
      <c r="D74" s="612"/>
      <c r="E74" s="133" t="s">
        <v>180</v>
      </c>
      <c r="F74" s="133"/>
      <c r="G74" s="128" t="s">
        <v>45</v>
      </c>
      <c r="H74" s="128" t="str">
        <f>IF(AND(OR(Table_5_UK!P61=0,Table_8_UK!O84&lt;&gt;0),OR(Table_8_UK!O84=0,Table_5_UK!P61&lt;&gt;0)),"PASS","FAIL")</f>
        <v>PASS</v>
      </c>
      <c r="I74" s="71" t="str">
        <f>Table_5_UK!P61&amp;", "&amp;Table_8_UK!O84</f>
        <v>116425, 91715</v>
      </c>
      <c r="K74" s="85"/>
      <c r="N74" s="89">
        <f t="shared" si="2"/>
        <v>0</v>
      </c>
      <c r="O74" s="89">
        <f t="shared" si="3"/>
        <v>0</v>
      </c>
    </row>
    <row r="75" spans="1:15" customFormat="1" ht="30" customHeight="1" x14ac:dyDescent="0.25">
      <c r="A75" s="128" t="s">
        <v>181</v>
      </c>
      <c r="B75" s="612" t="s">
        <v>182</v>
      </c>
      <c r="C75" s="612"/>
      <c r="D75" s="612"/>
      <c r="E75" s="133" t="s">
        <v>183</v>
      </c>
      <c r="F75" s="133"/>
      <c r="G75" s="128" t="s">
        <v>45</v>
      </c>
      <c r="H75" s="128" t="str">
        <f>IF(AND(OR(Table_5_UK!Q61=0,Table_8_UK!O85&lt;&gt;0),OR(Table_8_UK!O85=0,Table_5_UK!Q61&lt;&gt;0)),"PASS","FAIL")</f>
        <v>PASS</v>
      </c>
      <c r="I75" s="71" t="str">
        <f>Table_5_UK!Q61&amp;", "&amp;Table_8_UK!O85</f>
        <v>58929, 58876</v>
      </c>
      <c r="K75" s="85"/>
      <c r="N75" s="89">
        <f t="shared" si="2"/>
        <v>0</v>
      </c>
      <c r="O75" s="89">
        <f t="shared" si="3"/>
        <v>0</v>
      </c>
    </row>
    <row r="76" spans="1:15" customFormat="1" ht="15.4" customHeight="1" x14ac:dyDescent="0.25">
      <c r="A76" s="128" t="s">
        <v>184</v>
      </c>
      <c r="B76" s="612" t="s">
        <v>185</v>
      </c>
      <c r="C76" s="612"/>
      <c r="D76" s="612"/>
      <c r="E76" s="133" t="s">
        <v>186</v>
      </c>
      <c r="F76" s="133"/>
      <c r="G76" s="128" t="s">
        <v>45</v>
      </c>
      <c r="H76" s="128" t="str">
        <f>IF(AND(OR(Table_5_UK!R61=0,Table_8_UK!O86&lt;&gt;0),OR(Table_8_UK!O86=0,Table_5_UK!R61&lt;&gt;0)),"PASS","FAIL")</f>
        <v>PASS</v>
      </c>
      <c r="I76" s="71" t="str">
        <f>Table_5_UK!R61&amp;", "&amp;Table_8_UK!O86</f>
        <v>461, 448</v>
      </c>
      <c r="K76" s="85"/>
      <c r="N76" s="89">
        <f t="shared" si="2"/>
        <v>0</v>
      </c>
      <c r="O76" s="89">
        <f t="shared" si="3"/>
        <v>0</v>
      </c>
    </row>
    <row r="77" spans="1:15" customFormat="1" ht="27.75" customHeight="1" x14ac:dyDescent="0.25">
      <c r="A77" s="128" t="s">
        <v>187</v>
      </c>
      <c r="B77" s="612" t="s">
        <v>188</v>
      </c>
      <c r="C77" s="612"/>
      <c r="D77" s="612"/>
      <c r="E77" s="133" t="s">
        <v>189</v>
      </c>
      <c r="F77" s="133"/>
      <c r="G77" s="128" t="s">
        <v>45</v>
      </c>
      <c r="H77" s="128" t="str">
        <f>IF(AND(OR(Table_5_UK!S61=0,Table_8_UK!O87&lt;&gt;0),OR(Table_8_UK!O87=0,Table_5_UK!S61&lt;&gt;0)),"PASS","FAIL")</f>
        <v>PASS</v>
      </c>
      <c r="I77" s="71" t="str">
        <f>Table_5_UK!S61&amp;", "&amp;Table_8_UK!O87</f>
        <v>30268, 21760</v>
      </c>
      <c r="K77" s="85"/>
      <c r="N77" s="89">
        <f t="shared" si="2"/>
        <v>0</v>
      </c>
      <c r="O77" s="89">
        <f t="shared" si="3"/>
        <v>0</v>
      </c>
    </row>
    <row r="78" spans="1:15" customFormat="1" ht="27.75" customHeight="1" x14ac:dyDescent="0.25">
      <c r="A78" s="128" t="s">
        <v>190</v>
      </c>
      <c r="B78" s="612" t="s">
        <v>191</v>
      </c>
      <c r="C78" s="612"/>
      <c r="D78" s="612"/>
      <c r="E78" s="133" t="s">
        <v>192</v>
      </c>
      <c r="F78" s="133"/>
      <c r="G78" s="128" t="s">
        <v>45</v>
      </c>
      <c r="H78" s="128" t="str">
        <f>IF(AND(OR(Table_5_UK!U61=0,Table_8_UK!O88&lt;&gt;0),OR(Table_8_UK!O88=0,Table_5_UK!U61&lt;&gt;0)),"PASS","FAIL")</f>
        <v>PASS</v>
      </c>
      <c r="I78" s="71" t="str">
        <f>Table_5_UK!U61&amp;", "&amp;Table_8_UK!O88</f>
        <v>9565, 7670</v>
      </c>
      <c r="K78" s="85"/>
      <c r="N78" s="89">
        <f t="shared" si="2"/>
        <v>0</v>
      </c>
      <c r="O78" s="89">
        <f t="shared" si="3"/>
        <v>0</v>
      </c>
    </row>
    <row r="79" spans="1:15" customFormat="1" ht="18.399999999999999" customHeight="1" x14ac:dyDescent="0.25">
      <c r="A79" s="128" t="s">
        <v>193</v>
      </c>
      <c r="B79" s="612" t="s">
        <v>194</v>
      </c>
      <c r="C79" s="612"/>
      <c r="D79" s="612"/>
      <c r="E79" s="133" t="s">
        <v>195</v>
      </c>
      <c r="F79" s="133"/>
      <c r="G79" s="128" t="s">
        <v>45</v>
      </c>
      <c r="H79" s="128" t="str">
        <f>IF(AND(OR(Table_5_UK!V61=0,Table_8_UK!O89&lt;&gt;0),OR(Table_8_UK!O89=0,Table_5_UK!V61&lt;&gt;0)),"PASS","FAIL")</f>
        <v>PASS</v>
      </c>
      <c r="I79" s="71" t="str">
        <f>Table_5_UK!V61&amp;", "&amp;Table_8_UK!O89</f>
        <v>7354, 5415</v>
      </c>
      <c r="K79" s="85"/>
      <c r="N79" s="89">
        <f t="shared" si="2"/>
        <v>0</v>
      </c>
      <c r="O79" s="89">
        <f t="shared" si="3"/>
        <v>0</v>
      </c>
    </row>
    <row r="80" spans="1:15" customFormat="1" ht="19.350000000000001" customHeight="1" x14ac:dyDescent="0.25">
      <c r="A80" s="128" t="s">
        <v>196</v>
      </c>
      <c r="B80" s="612" t="s">
        <v>197</v>
      </c>
      <c r="C80" s="612"/>
      <c r="D80" s="612"/>
      <c r="E80" s="133" t="s">
        <v>198</v>
      </c>
      <c r="F80" s="133"/>
      <c r="G80" s="128" t="s">
        <v>45</v>
      </c>
      <c r="H80" s="128" t="str">
        <f>IF(AND(OR(Table_5_UK!W61=0,Table_8_UK!O90&lt;&gt;0),OR(Table_8_UK!O90=0,Table_5_UK!W61&lt;&gt;0)),"PASS","FAIL")</f>
        <v>PASS</v>
      </c>
      <c r="I80" s="71" t="str">
        <f>Table_5_UK!W61&amp;", "&amp;Table_8_UK!O90</f>
        <v>36207, 30359</v>
      </c>
      <c r="K80" s="85"/>
      <c r="N80" s="89">
        <f t="shared" si="2"/>
        <v>0</v>
      </c>
      <c r="O80" s="89">
        <f t="shared" si="3"/>
        <v>0</v>
      </c>
    </row>
    <row r="81" spans="1:15" customFormat="1" ht="32.65" customHeight="1" x14ac:dyDescent="0.25">
      <c r="A81" s="128" t="s">
        <v>199</v>
      </c>
      <c r="B81" s="612" t="s">
        <v>200</v>
      </c>
      <c r="C81" s="612"/>
      <c r="D81" s="612"/>
      <c r="E81" s="133" t="s">
        <v>201</v>
      </c>
      <c r="F81" s="133"/>
      <c r="G81" s="128" t="s">
        <v>45</v>
      </c>
      <c r="H81" s="128" t="str">
        <f>IF(AND(OR(Table_5_UK!X61=0,Table_8_UK!O91&lt;&gt;0),OR(Table_8_UK!O91=0,Table_5_UK!X61&lt;&gt;0)),"PASS","FAIL")</f>
        <v>PASS</v>
      </c>
      <c r="I81" s="71" t="str">
        <f>Table_5_UK!X61&amp;", "&amp;Table_8_UK!O91</f>
        <v>206, 198</v>
      </c>
      <c r="K81" s="85"/>
      <c r="N81" s="89">
        <f t="shared" si="2"/>
        <v>0</v>
      </c>
      <c r="O81" s="89">
        <f t="shared" si="3"/>
        <v>0</v>
      </c>
    </row>
    <row r="82" spans="1:15" customFormat="1" ht="31.15" customHeight="1" x14ac:dyDescent="0.25">
      <c r="A82" s="128" t="s">
        <v>202</v>
      </c>
      <c r="B82" s="612" t="s">
        <v>203</v>
      </c>
      <c r="C82" s="612"/>
      <c r="D82" s="612"/>
      <c r="E82" s="133" t="s">
        <v>204</v>
      </c>
      <c r="F82" s="133"/>
      <c r="G82" s="128" t="s">
        <v>45</v>
      </c>
      <c r="H82" s="128" t="str">
        <f>IF(AND(OR(Table_5_UK!Y61=0,Table_8_UK!O92&lt;&gt;0),OR(Table_8_UK!O92=0,Table_5_UK!Y61&lt;&gt;0)),"PASS","FAIL")</f>
        <v>PASS</v>
      </c>
      <c r="I82" s="71" t="str">
        <f>Table_5_UK!Y61&amp;", "&amp;Table_8_UK!O92</f>
        <v>2981, 2304</v>
      </c>
      <c r="K82" s="85"/>
      <c r="N82" s="89">
        <f t="shared" si="2"/>
        <v>0</v>
      </c>
      <c r="O82" s="89">
        <f t="shared" si="3"/>
        <v>0</v>
      </c>
    </row>
    <row r="83" spans="1:15" customFormat="1" ht="18.399999999999999" customHeight="1" x14ac:dyDescent="0.25">
      <c r="A83" s="128" t="s">
        <v>205</v>
      </c>
      <c r="B83" s="612" t="s">
        <v>206</v>
      </c>
      <c r="C83" s="612"/>
      <c r="D83" s="612"/>
      <c r="E83" s="133" t="s">
        <v>207</v>
      </c>
      <c r="F83" s="133"/>
      <c r="G83" s="128" t="s">
        <v>45</v>
      </c>
      <c r="H83" s="128" t="str">
        <f>IF(AND(OR(Table_5_UK!Z61=0,Table_8_UK!O93&lt;&gt;0),OR(Table_8_UK!O93=0,Table_5_UK!Z61&lt;&gt;0)),"PASS","FAIL")</f>
        <v>PASS</v>
      </c>
      <c r="I83" s="71" t="str">
        <f>Table_5_UK!Z61&amp;", "&amp;Table_8_UK!O93</f>
        <v>1225, 877</v>
      </c>
      <c r="K83" s="85"/>
      <c r="N83" s="89">
        <f t="shared" si="2"/>
        <v>0</v>
      </c>
      <c r="O83" s="89">
        <f t="shared" si="3"/>
        <v>0</v>
      </c>
    </row>
    <row r="84" spans="1:15" customFormat="1" ht="27" customHeight="1" x14ac:dyDescent="0.25">
      <c r="A84" s="128" t="s">
        <v>208</v>
      </c>
      <c r="B84" s="612" t="s">
        <v>209</v>
      </c>
      <c r="C84" s="612"/>
      <c r="D84" s="612"/>
      <c r="E84" s="133" t="s">
        <v>210</v>
      </c>
      <c r="F84" s="133"/>
      <c r="G84" s="128" t="s">
        <v>45</v>
      </c>
      <c r="H84" s="128" t="str">
        <f>IF(AND(OR(Table_5_UK!AA61=0,Table_8_UK!O94&lt;&gt;0),OR(Table_8_UK!O94=0,Table_5_UK!AA61&lt;&gt;0)),"PASS","FAIL")</f>
        <v>PASS</v>
      </c>
      <c r="I84" s="71" t="str">
        <f>Table_5_UK!AA61&amp;", "&amp;Table_8_UK!O94</f>
        <v>5648, 5145</v>
      </c>
      <c r="K84" s="85"/>
      <c r="N84" s="89">
        <f t="shared" si="2"/>
        <v>0</v>
      </c>
      <c r="O84" s="89">
        <f t="shared" si="3"/>
        <v>0</v>
      </c>
    </row>
    <row r="85" spans="1:15" customFormat="1" ht="29.1" customHeight="1" x14ac:dyDescent="0.25">
      <c r="A85" s="128" t="s">
        <v>211</v>
      </c>
      <c r="B85" s="612" t="s">
        <v>212</v>
      </c>
      <c r="C85" s="612"/>
      <c r="D85" s="612"/>
      <c r="E85" s="133" t="s">
        <v>213</v>
      </c>
      <c r="F85" s="133"/>
      <c r="G85" s="128" t="s">
        <v>45</v>
      </c>
      <c r="H85" s="128" t="str">
        <f>IF(AND(OR(Table_5_UK!AB61=0,Table_8_UK!O95&lt;&gt;0),OR(Table_8_UK!O95=0,Table_5_UK!AB61&lt;&gt;0)),"PASS","FAIL")</f>
        <v>PASS</v>
      </c>
      <c r="I85" s="71" t="str">
        <f>Table_5_UK!AB61&amp;", "&amp;Table_8_UK!O95</f>
        <v>3323, 5537</v>
      </c>
      <c r="K85" s="85"/>
      <c r="N85" s="89">
        <f t="shared" si="2"/>
        <v>0</v>
      </c>
      <c r="O85" s="89">
        <f t="shared" si="3"/>
        <v>0</v>
      </c>
    </row>
    <row r="86" spans="1:15" customFormat="1" ht="16.350000000000001" customHeight="1" x14ac:dyDescent="0.25">
      <c r="A86" s="128" t="s">
        <v>214</v>
      </c>
      <c r="B86" s="612" t="s">
        <v>215</v>
      </c>
      <c r="C86" s="612"/>
      <c r="D86" s="612"/>
      <c r="E86" s="133" t="s">
        <v>216</v>
      </c>
      <c r="F86" s="133"/>
      <c r="G86" s="128" t="s">
        <v>45</v>
      </c>
      <c r="H86" s="128" t="str">
        <f>IF(AND(OR(Table_5_UK!AC61=0,Table_8_UK!O96&lt;&gt;0),OR(Table_8_UK!O96=0,Table_5_UK!AC61&lt;&gt;0)),"PASS","FAIL")</f>
        <v>PASS</v>
      </c>
      <c r="I86" s="71" t="str">
        <f>Table_5_UK!AC61&amp;", "&amp;Table_8_UK!O96</f>
        <v>7112, 3332</v>
      </c>
      <c r="K86" s="85"/>
      <c r="N86" s="89">
        <f t="shared" si="2"/>
        <v>0</v>
      </c>
      <c r="O86" s="89">
        <f t="shared" si="3"/>
        <v>0</v>
      </c>
    </row>
    <row r="87" spans="1:15" customFormat="1" ht="19.350000000000001" customHeight="1" x14ac:dyDescent="0.25">
      <c r="A87" s="124" t="s">
        <v>217</v>
      </c>
      <c r="B87" s="609" t="s">
        <v>218</v>
      </c>
      <c r="C87" s="609"/>
      <c r="D87" s="609"/>
      <c r="E87" s="117" t="s">
        <v>219</v>
      </c>
      <c r="F87" s="117"/>
      <c r="G87" s="117" t="s">
        <v>38</v>
      </c>
      <c r="H87" s="119" t="str">
        <f>IF(OR(Table_6_UK!K63=0,Table_6_UK!K63&gt;Table_6_UK!K61),"PASS","FAIL")</f>
        <v>PASS</v>
      </c>
      <c r="I87" s="84" t="str">
        <f>Table_6_UK!K61&amp;", "&amp;Table_6_UK!K63</f>
        <v>0, 17840</v>
      </c>
      <c r="J87" s="85"/>
      <c r="K87" s="85"/>
      <c r="N87" s="89">
        <f t="shared" si="2"/>
        <v>0</v>
      </c>
      <c r="O87" s="89">
        <f t="shared" si="3"/>
        <v>0</v>
      </c>
    </row>
    <row r="88" spans="1:15" customFormat="1" ht="35.25" customHeight="1" x14ac:dyDescent="0.25">
      <c r="A88" s="124" t="s">
        <v>220</v>
      </c>
      <c r="B88" s="609" t="s">
        <v>221</v>
      </c>
      <c r="C88" s="609"/>
      <c r="D88" s="609"/>
      <c r="E88" s="609" t="s">
        <v>222</v>
      </c>
      <c r="F88" s="609"/>
      <c r="G88" s="119" t="s">
        <v>38</v>
      </c>
      <c r="H88" s="119" t="str">
        <f>IF(AND(B4="E",Table_6_UK!H25+Table_6_UK!H26+Table_6_UK!H27+Table_6_UK!H29=0),"FAIL","PASS")</f>
        <v>PASS</v>
      </c>
      <c r="I88" s="126">
        <f>SUM(Table_6_UK!H25+Table_6_UK!H26+Table_6_UK!H27+Table_6_UK!H29)</f>
        <v>65291</v>
      </c>
      <c r="J88" s="85"/>
      <c r="K88" s="116"/>
      <c r="N88" s="89">
        <f t="shared" si="2"/>
        <v>0</v>
      </c>
      <c r="O88" s="89">
        <f t="shared" si="3"/>
        <v>0</v>
      </c>
    </row>
    <row r="89" spans="1:15" s="70" customFormat="1" ht="45.75" customHeight="1" x14ac:dyDescent="0.2">
      <c r="A89" s="131" t="s">
        <v>223</v>
      </c>
      <c r="B89" s="609" t="s">
        <v>224</v>
      </c>
      <c r="C89" s="609"/>
      <c r="D89" s="609"/>
      <c r="E89" s="609" t="s">
        <v>222</v>
      </c>
      <c r="F89" s="609"/>
      <c r="G89" s="128" t="s">
        <v>38</v>
      </c>
      <c r="H89" s="125" t="str">
        <f>IF(AND(B4="S",Table_6_UK!H25+Table_6_UK!H26+Table_6_UK!H27+Table_6_UK!H29=0),"FAIL","PASS")</f>
        <v>PASS</v>
      </c>
      <c r="I89" s="126">
        <f>SUM(Table_6_UK!H25+Table_6_UK!H26+Table_6_UK!H27+Table_6_UK!H29)</f>
        <v>65291</v>
      </c>
      <c r="J89" s="72"/>
      <c r="K89" s="134"/>
      <c r="L89" s="72"/>
      <c r="M89" s="72"/>
      <c r="N89" s="135">
        <f t="shared" si="2"/>
        <v>0</v>
      </c>
      <c r="O89" s="135">
        <f t="shared" si="3"/>
        <v>0</v>
      </c>
    </row>
    <row r="90" spans="1:15" customFormat="1" ht="38.25" customHeight="1" x14ac:dyDescent="0.25">
      <c r="A90" s="124" t="s">
        <v>225</v>
      </c>
      <c r="B90" s="609" t="s">
        <v>226</v>
      </c>
      <c r="C90" s="609"/>
      <c r="D90" s="609"/>
      <c r="E90" s="609" t="s">
        <v>222</v>
      </c>
      <c r="F90" s="609"/>
      <c r="G90" s="128" t="s">
        <v>38</v>
      </c>
      <c r="H90" s="119" t="str">
        <f>IF(AND(B4="W",Table_6_UK!H25+Table_6_UK!H26+Table_6_UK!H27+Table_6_UK!H29=0),"FAIL","PASS")</f>
        <v>PASS</v>
      </c>
      <c r="I90" s="126">
        <f>SUM(Table_6_UK!H25+Table_6_UK!H26+Table_6_UK!H27+Table_6_UK!H29)</f>
        <v>65291</v>
      </c>
      <c r="J90" s="85"/>
      <c r="K90" s="116"/>
      <c r="N90" s="89">
        <f t="shared" ref="N90:N121" si="4">IF(AND(G90="Error",H90="FAIL"),1,0)</f>
        <v>0</v>
      </c>
      <c r="O90" s="89">
        <f t="shared" ref="O90:O121" si="5">IF(AND(G90="Warning",H90="FAIL"),1,0)</f>
        <v>0</v>
      </c>
    </row>
    <row r="91" spans="1:15" customFormat="1" ht="33.75" customHeight="1" x14ac:dyDescent="0.25">
      <c r="A91" s="124" t="s">
        <v>227</v>
      </c>
      <c r="B91" s="609" t="s">
        <v>228</v>
      </c>
      <c r="C91" s="609"/>
      <c r="D91" s="609"/>
      <c r="E91" s="609" t="s">
        <v>222</v>
      </c>
      <c r="F91" s="609"/>
      <c r="G91" s="128" t="s">
        <v>38</v>
      </c>
      <c r="H91" s="119" t="str">
        <f>IF(AND(B4="N",Table_6_UK!H25+Table_6_UK!H26+Table_6_UK!H27+Table_6_UK!H29=0),"FAIL","PASS")</f>
        <v>PASS</v>
      </c>
      <c r="I91" s="126">
        <f>SUM(Table_6_UK!H25+Table_6_UK!H26+Table_6_UK!H27+Table_6_UK!H29)</f>
        <v>65291</v>
      </c>
      <c r="J91" s="85"/>
      <c r="K91" s="116"/>
      <c r="N91" s="89">
        <f t="shared" si="4"/>
        <v>0</v>
      </c>
      <c r="O91" s="89">
        <f t="shared" si="5"/>
        <v>0</v>
      </c>
    </row>
    <row r="92" spans="1:15" customFormat="1" ht="33.75" customHeight="1" x14ac:dyDescent="0.25">
      <c r="A92" s="124" t="s">
        <v>229</v>
      </c>
      <c r="B92" s="609" t="s">
        <v>230</v>
      </c>
      <c r="C92" s="609"/>
      <c r="D92" s="609"/>
      <c r="E92" s="609" t="s">
        <v>231</v>
      </c>
      <c r="F92" s="609"/>
      <c r="G92" s="128" t="s">
        <v>45</v>
      </c>
      <c r="H92" s="119" t="str">
        <f>IF(Table_6_UK!K42&lt;=0,"FAIL","PASS")</f>
        <v>PASS</v>
      </c>
      <c r="I92" s="126">
        <f>Table_6_UK!K42</f>
        <v>18465</v>
      </c>
      <c r="J92" s="85"/>
      <c r="K92" s="116"/>
      <c r="N92" s="89">
        <f t="shared" si="4"/>
        <v>0</v>
      </c>
      <c r="O92" s="89">
        <f t="shared" si="5"/>
        <v>0</v>
      </c>
    </row>
    <row r="93" spans="1:15" customFormat="1" ht="33.75" customHeight="1" x14ac:dyDescent="0.25">
      <c r="A93" s="124" t="s">
        <v>232</v>
      </c>
      <c r="B93" s="609" t="s">
        <v>233</v>
      </c>
      <c r="C93" s="609"/>
      <c r="D93" s="609"/>
      <c r="E93" s="609" t="s">
        <v>234</v>
      </c>
      <c r="F93" s="609"/>
      <c r="G93" s="128" t="s">
        <v>45</v>
      </c>
      <c r="H93" s="119" t="str">
        <f>IF(Table_6_UK!K54&lt;=0,"FAIL","PASS")</f>
        <v>PASS</v>
      </c>
      <c r="I93" s="126">
        <f>Table_6_UK!K54</f>
        <v>168154</v>
      </c>
      <c r="J93" s="85"/>
      <c r="K93" s="116"/>
      <c r="N93" s="89">
        <f t="shared" si="4"/>
        <v>0</v>
      </c>
      <c r="O93" s="89">
        <f t="shared" si="5"/>
        <v>0</v>
      </c>
    </row>
    <row r="94" spans="1:15" customFormat="1" ht="44.1" customHeight="1" x14ac:dyDescent="0.25">
      <c r="A94" s="124" t="s">
        <v>235</v>
      </c>
      <c r="B94" s="609" t="s">
        <v>236</v>
      </c>
      <c r="C94" s="609"/>
      <c r="D94" s="609"/>
      <c r="E94" s="609" t="s">
        <v>237</v>
      </c>
      <c r="F94" s="609"/>
      <c r="G94" s="128" t="s">
        <v>45</v>
      </c>
      <c r="H94" s="119" t="str">
        <f>IF(AND(Table_6_UK!P6&gt;19, Table_6_UK!P6&lt;25),"FAIL","PASS")</f>
        <v>PASS</v>
      </c>
      <c r="I94" s="84" t="str">
        <f>Table_6_UK!K25&amp;", "&amp;Table_6_UK!K26&amp;", "&amp;Table_6_UK!K27&amp;", "&amp;Table_6_UK!K28&amp;", "&amp;Table_6_UK!K29&amp;", "&amp;Table_6_UK!K30&amp;", "&amp;Table_6_UK!K31&amp;", "&amp;Table_6_UK!K35&amp;", "&amp;Table_6_UK!K36&amp;", "&amp;Table_6_UK!K37&amp;", "&amp;Table_6_UK!K38&amp;", "&amp;Table_6_UK!K39&amp;", "&amp;Table_6_UK!K40&amp;", "&amp;Table_6_UK!K41&amp;", "&amp;Table_6_UK!K47&amp;", "&amp;Table_6_UK!K48&amp;", "&amp;Table_6_UK!K49&amp;", "&amp;Table_6_UK!K50&amp;", "&amp;Table_6_UK!K51&amp;", "&amp;Table_6_UK!K52&amp;", "&amp;Table_6_UK!K53&amp;", "&amp;Table_6_UK!K58&amp;", "&amp;Table_6_UK!K59&amp;", "&amp;Table_6_UK!K61&amp;", "&amp;Table_6_UK!K62</f>
        <v>78352, 0, 8057, 4996, 217, 8780, 755, 4561, 0, 8661, 3347, 50, 1716, 130, 81670, 0, 60122, 17432, 8294, 430, 206, 6399, 0, 0, 17840</v>
      </c>
      <c r="J94" s="85"/>
      <c r="K94" s="116"/>
      <c r="N94" s="89">
        <f t="shared" si="4"/>
        <v>0</v>
      </c>
      <c r="O94" s="89">
        <f t="shared" si="5"/>
        <v>0</v>
      </c>
    </row>
    <row r="95" spans="1:15" customFormat="1" ht="33.75" customHeight="1" x14ac:dyDescent="0.25">
      <c r="A95" s="124" t="s">
        <v>238</v>
      </c>
      <c r="B95" s="609" t="s">
        <v>239</v>
      </c>
      <c r="C95" s="609"/>
      <c r="D95" s="609"/>
      <c r="E95" s="609" t="s">
        <v>240</v>
      </c>
      <c r="F95" s="609"/>
      <c r="G95" s="128" t="s">
        <v>38</v>
      </c>
      <c r="H95" s="119" t="str">
        <f>IF(Table_6_UK!O65&lt;&gt;Table_1_UK!I6,"FAIL","PASS")</f>
        <v>PASS</v>
      </c>
      <c r="I95" s="126" t="str">
        <f>Table_6_UK!O65&amp;", "&amp;Table_1_UK!I6</f>
        <v>278493, 278493</v>
      </c>
      <c r="J95" s="85"/>
      <c r="K95" s="116"/>
      <c r="N95" s="89">
        <f t="shared" si="4"/>
        <v>0</v>
      </c>
      <c r="O95" s="89">
        <f t="shared" si="5"/>
        <v>0</v>
      </c>
    </row>
    <row r="96" spans="1:15" customFormat="1" ht="35.25" customHeight="1" x14ac:dyDescent="0.25">
      <c r="A96" s="131" t="s">
        <v>241</v>
      </c>
      <c r="B96" s="609" t="s">
        <v>242</v>
      </c>
      <c r="C96" s="609"/>
      <c r="D96" s="609"/>
      <c r="E96" s="117" t="s">
        <v>243</v>
      </c>
      <c r="F96" s="120"/>
      <c r="G96" s="119" t="s">
        <v>38</v>
      </c>
      <c r="H96" s="119" t="str">
        <f>IF(AND(Table_7_UK!H6&gt;0,(Table_7_UK!H6&lt;&gt;Table_1_UK!H6)),"FAIL","PASS")</f>
        <v>PASS</v>
      </c>
      <c r="I96" s="84" t="str">
        <f>Table_7_UK!H6&amp;", "&amp;Table_1_UK!H6</f>
        <v>312015, 312015</v>
      </c>
      <c r="J96" s="85"/>
      <c r="K96" s="116"/>
      <c r="N96" s="89">
        <f t="shared" si="4"/>
        <v>0</v>
      </c>
      <c r="O96" s="89">
        <f t="shared" si="5"/>
        <v>0</v>
      </c>
    </row>
    <row r="97" spans="1:15" customFormat="1" ht="16.350000000000001" customHeight="1" x14ac:dyDescent="0.25">
      <c r="A97" s="131" t="s">
        <v>244</v>
      </c>
      <c r="B97" s="609" t="s">
        <v>245</v>
      </c>
      <c r="C97" s="609"/>
      <c r="D97" s="609"/>
      <c r="E97" s="117" t="s">
        <v>246</v>
      </c>
      <c r="F97" s="120"/>
      <c r="G97" s="119" t="s">
        <v>38</v>
      </c>
      <c r="H97" s="119" t="str">
        <f>IF(AND(Table_7_UK!H51&gt;0,(Table_7_UK!H51&lt;&gt;Table_1_UK!H9)),"FAIL","PASS")</f>
        <v>PASS</v>
      </c>
      <c r="I97" s="84" t="str">
        <f>Table_7_UK!H51&amp;", "&amp;Table_1_UK!H9</f>
        <v>168384, 168384</v>
      </c>
      <c r="J97" s="85"/>
      <c r="K97" s="116"/>
      <c r="N97" s="89">
        <f t="shared" si="4"/>
        <v>0</v>
      </c>
      <c r="O97" s="89">
        <f t="shared" si="5"/>
        <v>0</v>
      </c>
    </row>
    <row r="98" spans="1:15" customFormat="1" ht="16.350000000000001" customHeight="1" x14ac:dyDescent="0.25">
      <c r="A98" s="131" t="s">
        <v>247</v>
      </c>
      <c r="B98" s="609" t="s">
        <v>248</v>
      </c>
      <c r="C98" s="609"/>
      <c r="D98" s="609"/>
      <c r="E98" s="117" t="s">
        <v>249</v>
      </c>
      <c r="F98" s="120"/>
      <c r="G98" s="119" t="s">
        <v>38</v>
      </c>
      <c r="H98" s="119" t="str">
        <f>IF(AND(Table_7_UK!H53&gt;0,(Table_7_UK!H53&lt;&gt;Table_1_UK!H10)),"FAIL","PASS")</f>
        <v>PASS</v>
      </c>
      <c r="I98" s="84" t="str">
        <f>Table_7_UK!H53&amp;", "&amp;Table_1_UK!H10</f>
        <v>14593, 14593</v>
      </c>
      <c r="J98" s="85"/>
      <c r="K98" s="116"/>
      <c r="N98" s="89">
        <f t="shared" si="4"/>
        <v>0</v>
      </c>
      <c r="O98" s="89">
        <f t="shared" si="5"/>
        <v>0</v>
      </c>
    </row>
    <row r="99" spans="1:15" customFormat="1" ht="33.75" customHeight="1" x14ac:dyDescent="0.25">
      <c r="A99" s="131" t="s">
        <v>250</v>
      </c>
      <c r="B99" s="609" t="s">
        <v>251</v>
      </c>
      <c r="C99" s="609"/>
      <c r="D99" s="609"/>
      <c r="E99" s="117" t="s">
        <v>252</v>
      </c>
      <c r="F99" s="120"/>
      <c r="G99" s="119" t="s">
        <v>38</v>
      </c>
      <c r="H99" s="119" t="str">
        <f>IF(AND(Table_7_UK!H61&gt;0,(Table_7_UK!H61&lt;&gt;Table_1_UK!H11)),"FAIL","PASS")</f>
        <v>PASS</v>
      </c>
      <c r="I99" s="84" t="str">
        <f>Table_7_UK!H61&amp;", "&amp;Table_1_UK!H11</f>
        <v>23089, 23089</v>
      </c>
      <c r="J99" s="85"/>
      <c r="K99" s="116"/>
      <c r="N99" s="89">
        <f t="shared" si="4"/>
        <v>0</v>
      </c>
      <c r="O99" s="89">
        <f t="shared" si="5"/>
        <v>0</v>
      </c>
    </row>
    <row r="100" spans="1:15" customFormat="1" ht="29.25" customHeight="1" x14ac:dyDescent="0.25">
      <c r="A100" s="131" t="s">
        <v>253</v>
      </c>
      <c r="B100" s="609" t="s">
        <v>254</v>
      </c>
      <c r="C100" s="609"/>
      <c r="D100" s="609"/>
      <c r="E100" s="117" t="s">
        <v>243</v>
      </c>
      <c r="F100" s="120"/>
      <c r="G100" s="119" t="s">
        <v>45</v>
      </c>
      <c r="H100" s="119" t="str">
        <f>IF(Table_7_UK!H6&lt;&gt;Table_1_UK!H6,"FAIL","PASS")</f>
        <v>PASS</v>
      </c>
      <c r="I100" s="84" t="str">
        <f>Table_7_UK!H6&amp;", "&amp;Table_1_UK!H6</f>
        <v>312015, 312015</v>
      </c>
      <c r="J100" s="85"/>
      <c r="K100" s="116"/>
      <c r="N100" s="89">
        <f t="shared" si="4"/>
        <v>0</v>
      </c>
      <c r="O100" s="89">
        <f t="shared" si="5"/>
        <v>0</v>
      </c>
    </row>
    <row r="101" spans="1:15" customFormat="1" ht="16.350000000000001" customHeight="1" x14ac:dyDescent="0.25">
      <c r="A101" s="131" t="s">
        <v>255</v>
      </c>
      <c r="B101" s="609" t="s">
        <v>256</v>
      </c>
      <c r="C101" s="609"/>
      <c r="D101" s="609"/>
      <c r="E101" s="117" t="s">
        <v>246</v>
      </c>
      <c r="F101" s="120"/>
      <c r="G101" s="119" t="s">
        <v>45</v>
      </c>
      <c r="H101" s="119" t="str">
        <f>IF(Table_7_UK!H51&lt;&gt;Table_1_UK!H9,"FAIL","PASS")</f>
        <v>PASS</v>
      </c>
      <c r="I101" s="84" t="str">
        <f>Table_7_UK!H51&amp;", "&amp;Table_1_UK!H9</f>
        <v>168384, 168384</v>
      </c>
      <c r="J101" s="85"/>
      <c r="K101" s="116"/>
      <c r="N101" s="89">
        <f t="shared" si="4"/>
        <v>0</v>
      </c>
      <c r="O101" s="89">
        <f t="shared" si="5"/>
        <v>0</v>
      </c>
    </row>
    <row r="102" spans="1:15" customFormat="1" ht="16.350000000000001" customHeight="1" x14ac:dyDescent="0.25">
      <c r="A102" s="131" t="s">
        <v>257</v>
      </c>
      <c r="B102" s="609" t="s">
        <v>258</v>
      </c>
      <c r="C102" s="609"/>
      <c r="D102" s="609"/>
      <c r="E102" s="117" t="s">
        <v>249</v>
      </c>
      <c r="F102" s="120"/>
      <c r="G102" s="119" t="s">
        <v>45</v>
      </c>
      <c r="H102" s="119" t="str">
        <f>IF(Table_7_UK!H53&lt;&gt;Table_1_UK!H10,"FAIL","PASS")</f>
        <v>PASS</v>
      </c>
      <c r="I102" s="84" t="str">
        <f>Table_7_UK!H53&amp;", "&amp;Table_1_UK!H10</f>
        <v>14593, 14593</v>
      </c>
      <c r="J102" s="85"/>
      <c r="K102" s="116"/>
      <c r="N102" s="89">
        <f t="shared" si="4"/>
        <v>0</v>
      </c>
      <c r="O102" s="89">
        <f t="shared" si="5"/>
        <v>0</v>
      </c>
    </row>
    <row r="103" spans="1:15" customFormat="1" ht="16.350000000000001" customHeight="1" x14ac:dyDescent="0.25">
      <c r="A103" s="131" t="s">
        <v>259</v>
      </c>
      <c r="B103" s="609" t="s">
        <v>260</v>
      </c>
      <c r="C103" s="609"/>
      <c r="D103" s="609"/>
      <c r="E103" s="117" t="s">
        <v>252</v>
      </c>
      <c r="F103" s="120"/>
      <c r="G103" s="119" t="s">
        <v>45</v>
      </c>
      <c r="H103" s="119" t="str">
        <f>IF(Table_7_UK!H61&lt;&gt;Table_1_UK!H11,"FAIL","PASS")</f>
        <v>PASS</v>
      </c>
      <c r="I103" s="84" t="str">
        <f>Table_7_UK!H61&amp;", "&amp;Table_1_UK!H11</f>
        <v>23089, 23089</v>
      </c>
      <c r="J103" s="85"/>
      <c r="K103" s="116"/>
      <c r="N103" s="89">
        <f t="shared" si="4"/>
        <v>0</v>
      </c>
      <c r="O103" s="89">
        <f t="shared" si="5"/>
        <v>0</v>
      </c>
    </row>
    <row r="104" spans="1:15" customFormat="1" ht="30.75" customHeight="1" x14ac:dyDescent="0.25">
      <c r="A104" s="131" t="s">
        <v>261</v>
      </c>
      <c r="B104" s="609" t="s">
        <v>262</v>
      </c>
      <c r="C104" s="609"/>
      <c r="D104" s="609"/>
      <c r="E104" s="117" t="s">
        <v>243</v>
      </c>
      <c r="F104" s="120"/>
      <c r="G104" s="119" t="s">
        <v>38</v>
      </c>
      <c r="H104" s="119" t="str">
        <f>IF(AND(Table_1_UK!H6=0,Table_7_UK!H6=0),"PASS",IF(AND(Table_7_UK!H6&gt;0,Table_1_UK!H6=0),"FAIL","PASS"))</f>
        <v>PASS</v>
      </c>
      <c r="I104" s="84" t="str">
        <f>Table_7_UK!H6&amp;", "&amp;Table_1_UK!H6</f>
        <v>312015, 312015</v>
      </c>
      <c r="J104" s="85"/>
      <c r="K104" s="116"/>
      <c r="N104" s="89">
        <f t="shared" si="4"/>
        <v>0</v>
      </c>
      <c r="O104" s="89">
        <f t="shared" si="5"/>
        <v>0</v>
      </c>
    </row>
    <row r="105" spans="1:15" customFormat="1" ht="16.350000000000001" customHeight="1" x14ac:dyDescent="0.25">
      <c r="A105" s="131" t="s">
        <v>263</v>
      </c>
      <c r="B105" s="609" t="s">
        <v>264</v>
      </c>
      <c r="C105" s="609"/>
      <c r="D105" s="609"/>
      <c r="E105" s="117" t="s">
        <v>246</v>
      </c>
      <c r="F105" s="120"/>
      <c r="G105" s="119" t="s">
        <v>38</v>
      </c>
      <c r="H105" s="119" t="str">
        <f>IF(AND(Table_1_UK!H9=0,Table_7_UK!H51=0),"PASS",IF(AND(Table_7_UK!H51&gt;0,Table_1_UK!H9=0),"FAIL","PASS"))</f>
        <v>PASS</v>
      </c>
      <c r="I105" s="84" t="str">
        <f>Table_7_UK!H51&amp;", "&amp;Table_1_UK!H9</f>
        <v>168384, 168384</v>
      </c>
      <c r="J105" s="85"/>
      <c r="K105" s="116"/>
      <c r="N105" s="89">
        <f t="shared" si="4"/>
        <v>0</v>
      </c>
      <c r="O105" s="89">
        <f t="shared" si="5"/>
        <v>0</v>
      </c>
    </row>
    <row r="106" spans="1:15" customFormat="1" ht="16.350000000000001" customHeight="1" x14ac:dyDescent="0.25">
      <c r="A106" s="131" t="s">
        <v>265</v>
      </c>
      <c r="B106" s="609" t="s">
        <v>266</v>
      </c>
      <c r="C106" s="609"/>
      <c r="D106" s="609"/>
      <c r="E106" s="117" t="s">
        <v>249</v>
      </c>
      <c r="F106" s="120"/>
      <c r="G106" s="119" t="s">
        <v>38</v>
      </c>
      <c r="H106" s="119" t="str">
        <f>IF(AND(Table_1_UK!H10=0,Table_7_UK!H53=0),"PASS",IF(AND(Table_7_UK!H53&gt;0,Table_1_UK!H10=0),"FAIL","PASS"))</f>
        <v>PASS</v>
      </c>
      <c r="I106" s="84" t="str">
        <f>Table_7_UK!H53&amp;", "&amp;Table_1_UK!H10</f>
        <v>14593, 14593</v>
      </c>
      <c r="J106" s="85"/>
      <c r="K106" s="116"/>
      <c r="N106" s="89">
        <f t="shared" si="4"/>
        <v>0</v>
      </c>
      <c r="O106" s="89">
        <f t="shared" si="5"/>
        <v>0</v>
      </c>
    </row>
    <row r="107" spans="1:15" customFormat="1" ht="33" customHeight="1" x14ac:dyDescent="0.25">
      <c r="A107" s="131" t="s">
        <v>267</v>
      </c>
      <c r="B107" s="609" t="s">
        <v>268</v>
      </c>
      <c r="C107" s="609"/>
      <c r="D107" s="609"/>
      <c r="E107" s="117" t="s">
        <v>252</v>
      </c>
      <c r="F107" s="120"/>
      <c r="G107" s="119" t="s">
        <v>38</v>
      </c>
      <c r="H107" s="119" t="str">
        <f>IF(AND(Table_1_UK!H11=0,Table_7_UK!H61=0),"PASS",IF(AND(Table_7_UK!H61&gt;0,Table_1_UK!H11=0),"FAIL","PASS"))</f>
        <v>PASS</v>
      </c>
      <c r="I107" s="84" t="str">
        <f>Table_7_UK!H61&amp;", "&amp;Table_1_UK!H11</f>
        <v>23089, 23089</v>
      </c>
      <c r="J107" s="85"/>
      <c r="K107" s="116"/>
      <c r="N107" s="89">
        <f t="shared" si="4"/>
        <v>0</v>
      </c>
      <c r="O107" s="89">
        <f t="shared" si="5"/>
        <v>0</v>
      </c>
    </row>
    <row r="108" spans="1:15" customFormat="1" ht="16.350000000000001" customHeight="1" x14ac:dyDescent="0.25">
      <c r="A108" s="131" t="s">
        <v>269</v>
      </c>
      <c r="B108" s="609" t="s">
        <v>270</v>
      </c>
      <c r="C108" s="615"/>
      <c r="D108" s="615"/>
      <c r="E108" s="117" t="s">
        <v>271</v>
      </c>
      <c r="F108" s="120"/>
      <c r="G108" s="119" t="s">
        <v>38</v>
      </c>
      <c r="H108" s="119" t="str">
        <f>IF(AND(Table_7_UK!H8&gt;0,(Table_7_UK!H8&lt;&gt;Table_1_UK!H7)),"FAIL","PASS")</f>
        <v>PASS</v>
      </c>
      <c r="I108" s="84" t="str">
        <f>Table_7_UK!H8&amp;", "&amp;Table_1_UK!H7</f>
        <v>186652, 186652</v>
      </c>
      <c r="J108" s="85"/>
      <c r="K108" s="116"/>
      <c r="N108" s="89">
        <f t="shared" si="4"/>
        <v>0</v>
      </c>
      <c r="O108" s="89">
        <f t="shared" si="5"/>
        <v>0</v>
      </c>
    </row>
    <row r="109" spans="1:15" customFormat="1" ht="39.75" customHeight="1" x14ac:dyDescent="0.25">
      <c r="A109" s="131" t="s">
        <v>272</v>
      </c>
      <c r="B109" s="609" t="s">
        <v>273</v>
      </c>
      <c r="C109" s="615"/>
      <c r="D109" s="615"/>
      <c r="E109" s="117" t="s">
        <v>274</v>
      </c>
      <c r="F109" s="120"/>
      <c r="G109" s="119" t="s">
        <v>38</v>
      </c>
      <c r="H109" s="119" t="str">
        <f>IF(AND(Table_7_UK!H34&gt;0,(Table_7_UK!H34&lt;&gt;Table_1_UK!H8)),"FAIL","PASS")</f>
        <v>PASS</v>
      </c>
      <c r="I109" s="84" t="str">
        <f>Table_7_UK!H34&amp;", "&amp;Table_1_UK!H8</f>
        <v>279704, 279704</v>
      </c>
      <c r="J109" s="85"/>
      <c r="K109" s="116"/>
      <c r="N109" s="89">
        <f t="shared" si="4"/>
        <v>0</v>
      </c>
      <c r="O109" s="89">
        <f t="shared" si="5"/>
        <v>0</v>
      </c>
    </row>
    <row r="110" spans="1:15" customFormat="1" ht="16.350000000000001" customHeight="1" x14ac:dyDescent="0.25">
      <c r="A110" s="131" t="s">
        <v>275</v>
      </c>
      <c r="B110" s="609" t="s">
        <v>276</v>
      </c>
      <c r="C110" s="615"/>
      <c r="D110" s="615"/>
      <c r="E110" s="117" t="s">
        <v>271</v>
      </c>
      <c r="F110" s="120"/>
      <c r="G110" s="119" t="s">
        <v>45</v>
      </c>
      <c r="H110" s="119" t="str">
        <f>IF(Table_7_UK!H8&lt;&gt;Table_1_UK!H7,"FAIL","PASS")</f>
        <v>PASS</v>
      </c>
      <c r="I110" s="84" t="str">
        <f>Table_7_UK!H8&amp;", "&amp;Table_1_UK!H7</f>
        <v>186652, 186652</v>
      </c>
      <c r="J110" s="85"/>
      <c r="K110" s="116"/>
      <c r="N110" s="89">
        <f t="shared" si="4"/>
        <v>0</v>
      </c>
      <c r="O110" s="89">
        <f t="shared" si="5"/>
        <v>0</v>
      </c>
    </row>
    <row r="111" spans="1:15" customFormat="1" ht="16.350000000000001" customHeight="1" x14ac:dyDescent="0.25">
      <c r="A111" s="131" t="s">
        <v>277</v>
      </c>
      <c r="B111" s="609" t="s">
        <v>278</v>
      </c>
      <c r="C111" s="615"/>
      <c r="D111" s="615"/>
      <c r="E111" s="117" t="s">
        <v>274</v>
      </c>
      <c r="F111" s="120"/>
      <c r="G111" s="119" t="s">
        <v>45</v>
      </c>
      <c r="H111" s="119" t="str">
        <f>IF(Table_7_UK!H34&lt;&gt;Table_1_UK!H8,"FAIL","PASS")</f>
        <v>PASS</v>
      </c>
      <c r="I111" s="84" t="str">
        <f>Table_7_UK!H34&amp;", "&amp;Table_1_UK!H8</f>
        <v>279704, 279704</v>
      </c>
      <c r="J111" s="85"/>
      <c r="K111" s="116"/>
      <c r="N111" s="89">
        <f t="shared" si="4"/>
        <v>0</v>
      </c>
      <c r="O111" s="89">
        <f t="shared" si="5"/>
        <v>0</v>
      </c>
    </row>
    <row r="112" spans="1:15" customFormat="1" ht="16.350000000000001" customHeight="1" x14ac:dyDescent="0.25">
      <c r="A112" s="131" t="s">
        <v>279</v>
      </c>
      <c r="B112" s="609" t="s">
        <v>280</v>
      </c>
      <c r="C112" s="609"/>
      <c r="D112" s="609"/>
      <c r="E112" s="117" t="s">
        <v>271</v>
      </c>
      <c r="F112" s="120"/>
      <c r="G112" s="119" t="s">
        <v>38</v>
      </c>
      <c r="H112" s="119" t="str">
        <f>IF(AND(Table_1_UK!H7=0,Table_7_UK!H8=0),"PASS",IF(AND(Table_7_UK!H8&gt;0,Table_1_UK!H7=0),"FAIL","PASS"))</f>
        <v>PASS</v>
      </c>
      <c r="I112" s="84" t="str">
        <f>Table_7_UK!H8&amp;", "&amp;Table_1_UK!H7</f>
        <v>186652, 186652</v>
      </c>
      <c r="J112" s="85"/>
      <c r="K112" s="116"/>
      <c r="N112" s="89">
        <f t="shared" si="4"/>
        <v>0</v>
      </c>
      <c r="O112" s="89">
        <f t="shared" si="5"/>
        <v>0</v>
      </c>
    </row>
    <row r="113" spans="1:15" customFormat="1" ht="31.5" customHeight="1" x14ac:dyDescent="0.25">
      <c r="A113" s="131" t="s">
        <v>281</v>
      </c>
      <c r="B113" s="609" t="s">
        <v>282</v>
      </c>
      <c r="C113" s="609"/>
      <c r="D113" s="609"/>
      <c r="E113" s="117" t="s">
        <v>274</v>
      </c>
      <c r="F113" s="120"/>
      <c r="G113" s="119" t="s">
        <v>38</v>
      </c>
      <c r="H113" s="119" t="str">
        <f>IF(AND(Table_1_UK!H8=0,Table_7_UK!H34=0),"PASS",IF(AND(Table_7_UK!H34&gt;0,Table_1_UK!H8=0),"FAIL","PASS"))</f>
        <v>PASS</v>
      </c>
      <c r="I113" s="84" t="str">
        <f>Table_7_UK!H34&amp;", "&amp;Table_1_UK!H8</f>
        <v>279704, 279704</v>
      </c>
      <c r="J113" s="85"/>
      <c r="K113" s="116"/>
      <c r="N113" s="89">
        <f t="shared" si="4"/>
        <v>0</v>
      </c>
      <c r="O113" s="89">
        <f t="shared" si="5"/>
        <v>0</v>
      </c>
    </row>
    <row r="114" spans="1:15" customFormat="1" ht="16.350000000000001" customHeight="1" x14ac:dyDescent="0.25">
      <c r="A114" s="119" t="s">
        <v>283</v>
      </c>
      <c r="B114" s="612" t="s">
        <v>284</v>
      </c>
      <c r="C114" s="612"/>
      <c r="D114" s="612"/>
      <c r="E114" s="119" t="s">
        <v>285</v>
      </c>
      <c r="F114" s="119"/>
      <c r="G114" s="119" t="s">
        <v>38</v>
      </c>
      <c r="H114" s="119" t="str">
        <f>IF(OR(AND(B4="E",Table_7_England!H6&lt;&gt;0), OR(B4="S",B4="W",B4="N")),"PASS","FAIL")</f>
        <v>PASS</v>
      </c>
      <c r="I114" s="71">
        <f>Table_7_England!H6</f>
        <v>0</v>
      </c>
      <c r="J114" s="72"/>
      <c r="K114" s="136"/>
      <c r="N114" s="89">
        <f t="shared" si="4"/>
        <v>0</v>
      </c>
      <c r="O114" s="89">
        <f t="shared" si="5"/>
        <v>0</v>
      </c>
    </row>
    <row r="115" spans="1:15" customFormat="1" ht="16.350000000000001" customHeight="1" x14ac:dyDescent="0.25">
      <c r="A115" s="119" t="s">
        <v>286</v>
      </c>
      <c r="B115" s="118" t="s">
        <v>287</v>
      </c>
      <c r="C115" s="118"/>
      <c r="D115" s="118"/>
      <c r="E115" s="609" t="s">
        <v>288</v>
      </c>
      <c r="F115" s="609"/>
      <c r="G115" s="119" t="s">
        <v>38</v>
      </c>
      <c r="H115" s="125" t="str">
        <f>IF(OR(AND(B4="E",Table_7_England!H12&gt;=0),AND(OR(B4="S",B4="W",B4="N"),Table_7_England!H12=0)),"PASS","FAIL")</f>
        <v>PASS</v>
      </c>
      <c r="I115" s="71">
        <f>Table_7_England!H12</f>
        <v>0</v>
      </c>
      <c r="J115" s="72"/>
      <c r="K115" s="136"/>
      <c r="N115" s="89">
        <f t="shared" si="4"/>
        <v>0</v>
      </c>
      <c r="O115" s="89">
        <f t="shared" si="5"/>
        <v>0</v>
      </c>
    </row>
    <row r="116" spans="1:15" customFormat="1" ht="16.350000000000001" customHeight="1" x14ac:dyDescent="0.25">
      <c r="A116" s="117" t="s">
        <v>289</v>
      </c>
      <c r="B116" s="118" t="s">
        <v>290</v>
      </c>
      <c r="C116" s="118"/>
      <c r="D116" s="118"/>
      <c r="E116" s="609" t="s">
        <v>291</v>
      </c>
      <c r="F116" s="609"/>
      <c r="G116" s="119" t="s">
        <v>38</v>
      </c>
      <c r="H116" s="125" t="str">
        <f>IF(OR(AND(B4="W",Table_7_Wales!H15&gt;=0),AND(OR(B4="E",B4="S",B4="N"),Table_7_Wales!H15=0)),"PASS","FAIL")</f>
        <v>PASS</v>
      </c>
      <c r="I116" s="71">
        <f>Table_7_Wales!H15</f>
        <v>0</v>
      </c>
      <c r="J116" s="72"/>
      <c r="K116" s="136"/>
      <c r="N116" s="89">
        <f t="shared" si="4"/>
        <v>0</v>
      </c>
      <c r="O116" s="89">
        <f t="shared" si="5"/>
        <v>0</v>
      </c>
    </row>
    <row r="117" spans="1:15" customFormat="1" ht="16.350000000000001" customHeight="1" x14ac:dyDescent="0.25">
      <c r="A117" s="117" t="s">
        <v>292</v>
      </c>
      <c r="B117" s="118" t="s">
        <v>293</v>
      </c>
      <c r="C117" s="118"/>
      <c r="D117" s="118"/>
      <c r="E117" s="609" t="s">
        <v>294</v>
      </c>
      <c r="F117" s="609"/>
      <c r="G117" s="119" t="s">
        <v>38</v>
      </c>
      <c r="H117" s="125" t="str">
        <f>IF(OR(AND(B4="S",Table_7_Scotland!H13&gt;=0),AND(OR(B4="E",B4="W",B4="N"),Table_7_Scotland!H13=0)),"PASS","FAIL")</f>
        <v>PASS</v>
      </c>
      <c r="I117" s="71">
        <f>Table_7_Scotland!H13</f>
        <v>186652</v>
      </c>
      <c r="J117" s="72"/>
      <c r="K117" s="136"/>
      <c r="N117" s="89">
        <f t="shared" si="4"/>
        <v>0</v>
      </c>
      <c r="O117" s="89">
        <f t="shared" si="5"/>
        <v>0</v>
      </c>
    </row>
    <row r="118" spans="1:15" customFormat="1" ht="16.350000000000001" customHeight="1" x14ac:dyDescent="0.25">
      <c r="A118" s="117" t="s">
        <v>295</v>
      </c>
      <c r="B118" s="609" t="s">
        <v>296</v>
      </c>
      <c r="C118" s="609"/>
      <c r="D118" s="609"/>
      <c r="E118" s="609" t="s">
        <v>297</v>
      </c>
      <c r="F118" s="609"/>
      <c r="G118" s="119" t="s">
        <v>38</v>
      </c>
      <c r="H118" s="125" t="str">
        <f>IF(OR(AND(B4="N",Table_7_N_Ireland!H10&gt;=0),AND(OR(B4="E",B4="S",B4="W"),Table_7_N_Ireland!H10=0)),"PASS","FAIL")</f>
        <v>PASS</v>
      </c>
      <c r="I118" s="71">
        <f>Table_7_N_Ireland!H10</f>
        <v>0</v>
      </c>
      <c r="J118" s="72"/>
      <c r="K118" s="136"/>
      <c r="N118" s="89">
        <f t="shared" si="4"/>
        <v>0</v>
      </c>
      <c r="O118" s="89">
        <f t="shared" si="5"/>
        <v>0</v>
      </c>
    </row>
    <row r="119" spans="1:15" customFormat="1" ht="16.350000000000001" customHeight="1" x14ac:dyDescent="0.25">
      <c r="A119" s="124" t="s">
        <v>298</v>
      </c>
      <c r="B119" s="609" t="s">
        <v>299</v>
      </c>
      <c r="C119" s="609"/>
      <c r="D119" s="609"/>
      <c r="E119" s="117" t="s">
        <v>300</v>
      </c>
      <c r="F119" s="117"/>
      <c r="G119" s="117" t="s">
        <v>45</v>
      </c>
      <c r="H119" s="119" t="str">
        <f>IF(OR(Table_8_UK!J6=0,Table_8_UK!L6&gt;0),"PASS","FAIL")</f>
        <v>PASS</v>
      </c>
      <c r="I119" s="84" t="str">
        <f>Table_8_UK!J6&amp;", "&amp;Table_8_UK!L6</f>
        <v>60237, 7129</v>
      </c>
      <c r="J119" s="72"/>
      <c r="K119" s="72"/>
      <c r="N119" s="89">
        <f t="shared" si="4"/>
        <v>0</v>
      </c>
      <c r="O119" s="89">
        <f t="shared" si="5"/>
        <v>0</v>
      </c>
    </row>
    <row r="120" spans="1:15" customFormat="1" ht="16.350000000000001" customHeight="1" x14ac:dyDescent="0.25">
      <c r="A120" s="124" t="s">
        <v>301</v>
      </c>
      <c r="B120" s="609" t="s">
        <v>302</v>
      </c>
      <c r="C120" s="609"/>
      <c r="D120" s="609"/>
      <c r="E120" s="133" t="s">
        <v>303</v>
      </c>
      <c r="F120" s="133"/>
      <c r="G120" s="117" t="s">
        <v>45</v>
      </c>
      <c r="H120" s="119" t="str">
        <f>IF(OR(Table_8_UK!J7=0,Table_8_UK!L7&gt;0),"PASS","FAIL")</f>
        <v>PASS</v>
      </c>
      <c r="I120" s="84" t="str">
        <f>Table_8_UK!J7&amp;", "&amp;Table_8_UK!L7</f>
        <v>1574, 479</v>
      </c>
      <c r="J120" s="72"/>
      <c r="K120" s="136"/>
      <c r="N120" s="89">
        <f t="shared" si="4"/>
        <v>0</v>
      </c>
      <c r="O120" s="89">
        <f t="shared" si="5"/>
        <v>0</v>
      </c>
    </row>
    <row r="121" spans="1:15" customFormat="1" ht="16.350000000000001" customHeight="1" x14ac:dyDescent="0.25">
      <c r="A121" s="124" t="s">
        <v>304</v>
      </c>
      <c r="B121" s="609" t="s">
        <v>305</v>
      </c>
      <c r="C121" s="609"/>
      <c r="D121" s="609"/>
      <c r="E121" s="117" t="s">
        <v>306</v>
      </c>
      <c r="F121" s="117"/>
      <c r="G121" s="117" t="s">
        <v>45</v>
      </c>
      <c r="H121" s="119" t="str">
        <f>IF(OR(Table_8_UK!J8=0,Table_8_UK!L8&gt;0),"PASS","FAIL")</f>
        <v>PASS</v>
      </c>
      <c r="I121" s="84" t="str">
        <f>Table_8_UK!J8&amp;", "&amp;Table_8_UK!L8</f>
        <v>1063, 280</v>
      </c>
      <c r="J121" s="72"/>
      <c r="K121" s="136"/>
      <c r="N121" s="89">
        <f t="shared" si="4"/>
        <v>0</v>
      </c>
      <c r="O121" s="89">
        <f t="shared" si="5"/>
        <v>0</v>
      </c>
    </row>
    <row r="122" spans="1:15" customFormat="1" ht="16.350000000000001" customHeight="1" x14ac:dyDescent="0.25">
      <c r="A122" s="124" t="s">
        <v>307</v>
      </c>
      <c r="B122" s="609" t="s">
        <v>308</v>
      </c>
      <c r="C122" s="609"/>
      <c r="D122" s="609"/>
      <c r="E122" s="117" t="s">
        <v>309</v>
      </c>
      <c r="F122" s="117"/>
      <c r="G122" s="117" t="s">
        <v>45</v>
      </c>
      <c r="H122" s="119" t="str">
        <f>IF(OR(Table_8_UK!J9=0,Table_8_UK!L9&gt;0),"PASS","FAIL")</f>
        <v>PASS</v>
      </c>
      <c r="I122" s="84" t="str">
        <f>Table_8_UK!J9&amp;", "&amp;Table_8_UK!L9</f>
        <v>6816, 1369</v>
      </c>
      <c r="J122" s="72"/>
      <c r="K122" s="123"/>
      <c r="N122" s="89">
        <f t="shared" ref="N122:N153" si="6">IF(AND(G122="Error",H122="FAIL"),1,0)</f>
        <v>0</v>
      </c>
      <c r="O122" s="89">
        <f t="shared" ref="O122:O153" si="7">IF(AND(G122="Warning",H122="FAIL"),1,0)</f>
        <v>0</v>
      </c>
    </row>
    <row r="123" spans="1:15" customFormat="1" ht="16.350000000000001" customHeight="1" x14ac:dyDescent="0.25">
      <c r="A123" s="124" t="s">
        <v>310</v>
      </c>
      <c r="B123" s="609" t="s">
        <v>311</v>
      </c>
      <c r="C123" s="609"/>
      <c r="D123" s="609"/>
      <c r="E123" s="117" t="s">
        <v>312</v>
      </c>
      <c r="F123" s="117"/>
      <c r="G123" s="117" t="s">
        <v>45</v>
      </c>
      <c r="H123" s="119" t="str">
        <f>IF(OR(Table_8_UK!J10=0,Table_8_UK!L10&gt;0),"PASS","FAIL")</f>
        <v>PASS</v>
      </c>
      <c r="I123" s="84" t="str">
        <f>Table_8_UK!J10&amp;", "&amp;Table_8_UK!L10</f>
        <v>0, 0</v>
      </c>
      <c r="J123" s="72"/>
      <c r="K123" s="123"/>
      <c r="N123" s="89">
        <f t="shared" si="6"/>
        <v>0</v>
      </c>
      <c r="O123" s="89">
        <f t="shared" si="7"/>
        <v>0</v>
      </c>
    </row>
    <row r="124" spans="1:15" customFormat="1" ht="16.350000000000001" customHeight="1" x14ac:dyDescent="0.25">
      <c r="A124" s="124" t="s">
        <v>313</v>
      </c>
      <c r="B124" s="609" t="s">
        <v>314</v>
      </c>
      <c r="C124" s="609"/>
      <c r="D124" s="609"/>
      <c r="E124" s="117" t="s">
        <v>315</v>
      </c>
      <c r="F124" s="117"/>
      <c r="G124" s="117" t="s">
        <v>45</v>
      </c>
      <c r="H124" s="119" t="str">
        <f>IF(OR(Table_8_UK!J11=0,Table_8_UK!L11&gt;0),"PASS","FAIL")</f>
        <v>PASS</v>
      </c>
      <c r="I124" s="84" t="str">
        <f>Table_8_UK!J11&amp;", "&amp;Table_8_UK!L11</f>
        <v>0, 0</v>
      </c>
      <c r="J124" s="72"/>
      <c r="K124" s="123"/>
      <c r="N124" s="89">
        <f t="shared" si="6"/>
        <v>0</v>
      </c>
      <c r="O124" s="89">
        <f t="shared" si="7"/>
        <v>0</v>
      </c>
    </row>
    <row r="125" spans="1:15" customFormat="1" ht="16.350000000000001" customHeight="1" x14ac:dyDescent="0.25">
      <c r="A125" s="124" t="s">
        <v>316</v>
      </c>
      <c r="B125" s="609" t="s">
        <v>317</v>
      </c>
      <c r="C125" s="609"/>
      <c r="D125" s="609"/>
      <c r="E125" s="117" t="s">
        <v>318</v>
      </c>
      <c r="F125" s="117"/>
      <c r="G125" s="117" t="s">
        <v>45</v>
      </c>
      <c r="H125" s="119" t="str">
        <f>IF(OR(Table_8_UK!J12=0,Table_8_UK!L12&gt;0),"PASS","FAIL")</f>
        <v>PASS</v>
      </c>
      <c r="I125" s="84" t="str">
        <f>Table_8_UK!J12&amp;", "&amp;Table_8_UK!L12</f>
        <v>0, 0</v>
      </c>
      <c r="J125" s="85"/>
      <c r="K125" s="123"/>
      <c r="N125" s="89">
        <f t="shared" si="6"/>
        <v>0</v>
      </c>
      <c r="O125" s="89">
        <f t="shared" si="7"/>
        <v>0</v>
      </c>
    </row>
    <row r="126" spans="1:15" customFormat="1" ht="16.350000000000001" customHeight="1" x14ac:dyDescent="0.25">
      <c r="A126" s="124" t="s">
        <v>319</v>
      </c>
      <c r="B126" s="609" t="s">
        <v>320</v>
      </c>
      <c r="C126" s="609"/>
      <c r="D126" s="609"/>
      <c r="E126" s="117" t="s">
        <v>321</v>
      </c>
      <c r="F126" s="117"/>
      <c r="G126" s="117" t="s">
        <v>45</v>
      </c>
      <c r="H126" s="119" t="str">
        <f>IF(OR(Table_8_UK!J13=0,Table_8_UK!L13&gt;0),"PASS","FAIL")</f>
        <v>PASS</v>
      </c>
      <c r="I126" s="84" t="str">
        <f>Table_8_UK!J13&amp;", "&amp;Table_8_UK!L13</f>
        <v>0, 0</v>
      </c>
      <c r="J126" s="72"/>
      <c r="K126" s="123"/>
      <c r="N126" s="89">
        <f t="shared" si="6"/>
        <v>0</v>
      </c>
      <c r="O126" s="89">
        <f t="shared" si="7"/>
        <v>0</v>
      </c>
    </row>
    <row r="127" spans="1:15" customFormat="1" ht="16.350000000000001" customHeight="1" x14ac:dyDescent="0.25">
      <c r="A127" s="124" t="s">
        <v>322</v>
      </c>
      <c r="B127" s="609" t="s">
        <v>323</v>
      </c>
      <c r="C127" s="609"/>
      <c r="D127" s="609"/>
      <c r="E127" s="117" t="s">
        <v>324</v>
      </c>
      <c r="F127" s="117"/>
      <c r="G127" s="117" t="s">
        <v>45</v>
      </c>
      <c r="H127" s="119" t="str">
        <f>IF(OR(Table_8_UK!J14=0,Table_8_UK!L14&gt;0),"PASS","FAIL")</f>
        <v>PASS</v>
      </c>
      <c r="I127" s="84" t="str">
        <f>Table_8_UK!J14&amp;", "&amp;Table_8_UK!L14</f>
        <v>27683, 11053</v>
      </c>
      <c r="J127" s="72"/>
      <c r="K127" s="123"/>
      <c r="N127" s="89">
        <f t="shared" si="6"/>
        <v>0</v>
      </c>
      <c r="O127" s="89">
        <f t="shared" si="7"/>
        <v>0</v>
      </c>
    </row>
    <row r="128" spans="1:15" customFormat="1" ht="16.350000000000001" customHeight="1" x14ac:dyDescent="0.25">
      <c r="A128" s="124" t="s">
        <v>325</v>
      </c>
      <c r="B128" s="609" t="s">
        <v>326</v>
      </c>
      <c r="C128" s="609"/>
      <c r="D128" s="609"/>
      <c r="E128" s="117" t="s">
        <v>327</v>
      </c>
      <c r="F128" s="117"/>
      <c r="G128" s="117" t="s">
        <v>45</v>
      </c>
      <c r="H128" s="119" t="str">
        <f>IF(OR(Table_8_UK!J15=0,Table_8_UK!L15&gt;0),"PASS","FAIL")</f>
        <v>PASS</v>
      </c>
      <c r="I128" s="84" t="str">
        <f>Table_8_UK!J15&amp;", "&amp;Table_8_UK!L15</f>
        <v>0, 0</v>
      </c>
      <c r="K128" s="123"/>
      <c r="N128" s="89">
        <f t="shared" si="6"/>
        <v>0</v>
      </c>
      <c r="O128" s="89">
        <f t="shared" si="7"/>
        <v>0</v>
      </c>
    </row>
    <row r="129" spans="1:15" customFormat="1" ht="16.350000000000001" customHeight="1" x14ac:dyDescent="0.25">
      <c r="A129" s="124" t="s">
        <v>328</v>
      </c>
      <c r="B129" s="609" t="s">
        <v>329</v>
      </c>
      <c r="C129" s="609"/>
      <c r="D129" s="609"/>
      <c r="E129" s="117" t="s">
        <v>330</v>
      </c>
      <c r="F129" s="117"/>
      <c r="G129" s="117" t="s">
        <v>45</v>
      </c>
      <c r="H129" s="119" t="str">
        <f>IF(OR(Table_8_UK!J16=0,Table_8_UK!L16&gt;0),"PASS","FAIL")</f>
        <v>PASS</v>
      </c>
      <c r="I129" s="84" t="str">
        <f>Table_8_UK!J16&amp;", "&amp;Table_8_UK!L16</f>
        <v>9889, 3532</v>
      </c>
      <c r="K129" s="123"/>
      <c r="N129" s="89">
        <f t="shared" si="6"/>
        <v>0</v>
      </c>
      <c r="O129" s="89">
        <f t="shared" si="7"/>
        <v>0</v>
      </c>
    </row>
    <row r="130" spans="1:15" customFormat="1" ht="16.350000000000001" customHeight="1" x14ac:dyDescent="0.25">
      <c r="A130" s="124" t="s">
        <v>331</v>
      </c>
      <c r="B130" s="609" t="s">
        <v>332</v>
      </c>
      <c r="C130" s="609"/>
      <c r="D130" s="609"/>
      <c r="E130" s="117" t="s">
        <v>333</v>
      </c>
      <c r="F130" s="117"/>
      <c r="G130" s="117" t="s">
        <v>45</v>
      </c>
      <c r="H130" s="119" t="str">
        <f>IF(OR(Table_8_UK!J17=0,Table_8_UK!L17&gt;0),"PASS","FAIL")</f>
        <v>PASS</v>
      </c>
      <c r="I130" s="84" t="str">
        <f>Table_8_UK!J17&amp;", "&amp;Table_8_UK!L17</f>
        <v>26347, 9639</v>
      </c>
      <c r="K130" s="123"/>
      <c r="N130" s="89">
        <f t="shared" si="6"/>
        <v>0</v>
      </c>
      <c r="O130" s="89">
        <f t="shared" si="7"/>
        <v>0</v>
      </c>
    </row>
    <row r="131" spans="1:15" customFormat="1" ht="16.350000000000001" customHeight="1" x14ac:dyDescent="0.25">
      <c r="A131" s="124" t="s">
        <v>334</v>
      </c>
      <c r="B131" s="609" t="s">
        <v>335</v>
      </c>
      <c r="C131" s="609"/>
      <c r="D131" s="609"/>
      <c r="E131" s="117" t="s">
        <v>336</v>
      </c>
      <c r="F131" s="117"/>
      <c r="G131" s="117" t="s">
        <v>45</v>
      </c>
      <c r="H131" s="119" t="str">
        <f>IF(OR(Table_8_UK!J18=0,Table_8_UK!L18&gt;0),"PASS","FAIL")</f>
        <v>PASS</v>
      </c>
      <c r="I131" s="84" t="str">
        <f>Table_8_UK!J18&amp;", "&amp;Table_8_UK!L18</f>
        <v>5744, 4264</v>
      </c>
      <c r="K131" s="123"/>
      <c r="N131" s="89">
        <f t="shared" si="6"/>
        <v>0</v>
      </c>
      <c r="O131" s="89">
        <f t="shared" si="7"/>
        <v>0</v>
      </c>
    </row>
    <row r="132" spans="1:15" customFormat="1" ht="16.350000000000001" customHeight="1" x14ac:dyDescent="0.25">
      <c r="A132" s="124" t="s">
        <v>337</v>
      </c>
      <c r="B132" s="609" t="s">
        <v>338</v>
      </c>
      <c r="C132" s="609"/>
      <c r="D132" s="609"/>
      <c r="E132" s="117" t="s">
        <v>339</v>
      </c>
      <c r="F132" s="117"/>
      <c r="G132" s="117" t="s">
        <v>45</v>
      </c>
      <c r="H132" s="119" t="str">
        <f>IF(OR(Table_8_UK!J19=0,Table_8_UK!L19&gt;0),"PASS","FAIL")</f>
        <v>PASS</v>
      </c>
      <c r="I132" s="84" t="str">
        <f>Table_8_UK!J19&amp;", "&amp;Table_8_UK!L19</f>
        <v>10969, 6975</v>
      </c>
      <c r="K132" s="123"/>
      <c r="N132" s="89">
        <f t="shared" si="6"/>
        <v>0</v>
      </c>
      <c r="O132" s="89">
        <f t="shared" si="7"/>
        <v>0</v>
      </c>
    </row>
    <row r="133" spans="1:15" customFormat="1" ht="16.350000000000001" customHeight="1" x14ac:dyDescent="0.25">
      <c r="A133" s="124" t="s">
        <v>340</v>
      </c>
      <c r="B133" s="609" t="s">
        <v>341</v>
      </c>
      <c r="C133" s="609"/>
      <c r="D133" s="609"/>
      <c r="E133" s="117" t="s">
        <v>342</v>
      </c>
      <c r="F133" s="117"/>
      <c r="G133" s="117" t="s">
        <v>45</v>
      </c>
      <c r="H133" s="119" t="str">
        <f>IF(OR(Table_8_UK!J20=0,Table_8_UK!L20&gt;0),"PASS","FAIL")</f>
        <v>PASS</v>
      </c>
      <c r="I133" s="84" t="str">
        <f>Table_8_UK!J20&amp;", "&amp;Table_8_UK!L20</f>
        <v>0, 0</v>
      </c>
      <c r="K133" s="123"/>
      <c r="N133" s="89">
        <f t="shared" si="6"/>
        <v>0</v>
      </c>
      <c r="O133" s="89">
        <f t="shared" si="7"/>
        <v>0</v>
      </c>
    </row>
    <row r="134" spans="1:15" customFormat="1" ht="16.350000000000001" customHeight="1" x14ac:dyDescent="0.25">
      <c r="A134" s="124" t="s">
        <v>343</v>
      </c>
      <c r="B134" s="609" t="s">
        <v>344</v>
      </c>
      <c r="C134" s="609"/>
      <c r="D134" s="609"/>
      <c r="E134" s="117" t="s">
        <v>345</v>
      </c>
      <c r="F134" s="117"/>
      <c r="G134" s="117" t="s">
        <v>45</v>
      </c>
      <c r="H134" s="119" t="str">
        <f>IF(OR(Table_8_UK!J21=0,Table_8_UK!L21&gt;0),"PASS","FAIL")</f>
        <v>PASS</v>
      </c>
      <c r="I134" s="84" t="str">
        <f>Table_8_UK!J21&amp;", "&amp;Table_8_UK!L21</f>
        <v>1793, 1938</v>
      </c>
      <c r="K134" s="123"/>
      <c r="N134" s="89">
        <f t="shared" si="6"/>
        <v>0</v>
      </c>
      <c r="O134" s="89">
        <f t="shared" si="7"/>
        <v>0</v>
      </c>
    </row>
    <row r="135" spans="1:15" customFormat="1" ht="16.350000000000001" customHeight="1" x14ac:dyDescent="0.25">
      <c r="A135" s="124" t="s">
        <v>346</v>
      </c>
      <c r="B135" s="609" t="s">
        <v>347</v>
      </c>
      <c r="C135" s="609"/>
      <c r="D135" s="609"/>
      <c r="E135" s="117" t="s">
        <v>348</v>
      </c>
      <c r="F135" s="117"/>
      <c r="G135" s="117" t="s">
        <v>45</v>
      </c>
      <c r="H135" s="119" t="str">
        <f>IF(OR(Table_8_UK!J22=0,Table_8_UK!L22&gt;0),"PASS","FAIL")</f>
        <v>PASS</v>
      </c>
      <c r="I135" s="84" t="str">
        <f>Table_8_UK!J22&amp;", "&amp;Table_8_UK!L22</f>
        <v>0, 0</v>
      </c>
      <c r="K135" s="123"/>
      <c r="N135" s="89">
        <f t="shared" si="6"/>
        <v>0</v>
      </c>
      <c r="O135" s="89">
        <f t="shared" si="7"/>
        <v>0</v>
      </c>
    </row>
    <row r="136" spans="1:15" customFormat="1" ht="16.350000000000001" customHeight="1" x14ac:dyDescent="0.25">
      <c r="A136" s="124" t="s">
        <v>349</v>
      </c>
      <c r="B136" s="609" t="s">
        <v>350</v>
      </c>
      <c r="C136" s="609"/>
      <c r="D136" s="609"/>
      <c r="E136" s="117" t="s">
        <v>351</v>
      </c>
      <c r="F136" s="117"/>
      <c r="G136" s="117" t="s">
        <v>45</v>
      </c>
      <c r="H136" s="119" t="str">
        <f>IF(OR(Table_8_UK!J23=0,Table_8_UK!L23&gt;0),"PASS","FAIL")</f>
        <v>PASS</v>
      </c>
      <c r="I136" s="84" t="str">
        <f>Table_8_UK!J23&amp;", "&amp;Table_8_UK!L23</f>
        <v>5696, 1876</v>
      </c>
      <c r="K136" s="123"/>
      <c r="N136" s="89">
        <f t="shared" si="6"/>
        <v>0</v>
      </c>
      <c r="O136" s="89">
        <f t="shared" si="7"/>
        <v>0</v>
      </c>
    </row>
    <row r="137" spans="1:15" customFormat="1" ht="16.350000000000001" customHeight="1" x14ac:dyDescent="0.25">
      <c r="A137" s="124" t="s">
        <v>352</v>
      </c>
      <c r="B137" s="609" t="s">
        <v>353</v>
      </c>
      <c r="C137" s="609"/>
      <c r="D137" s="609"/>
      <c r="E137" s="117" t="s">
        <v>354</v>
      </c>
      <c r="F137" s="117"/>
      <c r="G137" s="117" t="s">
        <v>45</v>
      </c>
      <c r="H137" s="119" t="str">
        <f>IF(OR(Table_8_UK!J24=0,Table_8_UK!L24&gt;0),"PASS","FAIL")</f>
        <v>PASS</v>
      </c>
      <c r="I137" s="84" t="str">
        <f>Table_8_UK!J24&amp;", "&amp;Table_8_UK!L24</f>
        <v>3783, 3680</v>
      </c>
      <c r="K137" s="123"/>
      <c r="N137" s="89">
        <f t="shared" si="6"/>
        <v>0</v>
      </c>
      <c r="O137" s="89">
        <f t="shared" si="7"/>
        <v>0</v>
      </c>
    </row>
    <row r="138" spans="1:15" customFormat="1" ht="16.350000000000001" customHeight="1" x14ac:dyDescent="0.25">
      <c r="A138" s="124" t="s">
        <v>355</v>
      </c>
      <c r="B138" s="609" t="s">
        <v>356</v>
      </c>
      <c r="C138" s="609"/>
      <c r="D138" s="609"/>
      <c r="E138" s="117" t="s">
        <v>357</v>
      </c>
      <c r="F138" s="117"/>
      <c r="G138" s="117" t="s">
        <v>45</v>
      </c>
      <c r="H138" s="119" t="str">
        <f>IF(OR(Table_8_UK!J25=0,Table_8_UK!L25&gt;0),"PASS","FAIL")</f>
        <v>PASS</v>
      </c>
      <c r="I138" s="84" t="str">
        <f>Table_8_UK!J25&amp;", "&amp;Table_8_UK!L25</f>
        <v>2099, 2206</v>
      </c>
      <c r="K138" s="123"/>
      <c r="N138" s="89">
        <f t="shared" si="6"/>
        <v>0</v>
      </c>
      <c r="O138" s="89">
        <f t="shared" si="7"/>
        <v>0</v>
      </c>
    </row>
    <row r="139" spans="1:15" customFormat="1" ht="16.350000000000001" customHeight="1" x14ac:dyDescent="0.25">
      <c r="A139" s="124" t="s">
        <v>358</v>
      </c>
      <c r="B139" s="609" t="s">
        <v>359</v>
      </c>
      <c r="C139" s="609"/>
      <c r="D139" s="609"/>
      <c r="E139" s="117" t="s">
        <v>360</v>
      </c>
      <c r="F139" s="117"/>
      <c r="G139" s="117" t="s">
        <v>45</v>
      </c>
      <c r="H139" s="119" t="str">
        <f>IF(OR(Table_8_UK!J26=0,Table_8_UK!L26&gt;0),"PASS","FAIL")</f>
        <v>PASS</v>
      </c>
      <c r="I139" s="84" t="str">
        <f>Table_8_UK!J26&amp;", "&amp;Table_8_UK!L26</f>
        <v>12891, 8805</v>
      </c>
      <c r="K139" s="123"/>
      <c r="N139" s="89">
        <f t="shared" si="6"/>
        <v>0</v>
      </c>
      <c r="O139" s="89">
        <f t="shared" si="7"/>
        <v>0</v>
      </c>
    </row>
    <row r="140" spans="1:15" customFormat="1" ht="16.350000000000001" customHeight="1" x14ac:dyDescent="0.25">
      <c r="A140" s="124" t="s">
        <v>361</v>
      </c>
      <c r="B140" s="609" t="s">
        <v>362</v>
      </c>
      <c r="C140" s="609"/>
      <c r="D140" s="609"/>
      <c r="E140" s="117" t="s">
        <v>363</v>
      </c>
      <c r="F140" s="117"/>
      <c r="G140" s="117" t="s">
        <v>45</v>
      </c>
      <c r="H140" s="119" t="str">
        <f>IF(OR(Table_8_UK!J27=0,Table_8_UK!L27&gt;0),"PASS","FAIL")</f>
        <v>PASS</v>
      </c>
      <c r="I140" s="84" t="str">
        <f>Table_8_UK!J27&amp;", "&amp;Table_8_UK!L27</f>
        <v>5780, 2487</v>
      </c>
      <c r="K140" s="123"/>
      <c r="N140" s="89">
        <f t="shared" si="6"/>
        <v>0</v>
      </c>
      <c r="O140" s="89">
        <f t="shared" si="7"/>
        <v>0</v>
      </c>
    </row>
    <row r="141" spans="1:15" customFormat="1" ht="16.350000000000001" customHeight="1" x14ac:dyDescent="0.25">
      <c r="A141" s="124" t="s">
        <v>364</v>
      </c>
      <c r="B141" s="609" t="s">
        <v>365</v>
      </c>
      <c r="C141" s="609"/>
      <c r="D141" s="609"/>
      <c r="E141" s="117" t="s">
        <v>366</v>
      </c>
      <c r="F141" s="117"/>
      <c r="G141" s="117" t="s">
        <v>45</v>
      </c>
      <c r="H141" s="119" t="str">
        <f>IF(OR(Table_8_UK!J28=0,Table_8_UK!L28&gt;0),"PASS","FAIL")</f>
        <v>PASS</v>
      </c>
      <c r="I141" s="84" t="str">
        <f>Table_8_UK!J28&amp;", "&amp;Table_8_UK!L28</f>
        <v>3918, 1551</v>
      </c>
      <c r="K141" s="123"/>
      <c r="N141" s="89">
        <f t="shared" si="6"/>
        <v>0</v>
      </c>
      <c r="O141" s="89">
        <f t="shared" si="7"/>
        <v>0</v>
      </c>
    </row>
    <row r="142" spans="1:15" customFormat="1" ht="16.350000000000001" customHeight="1" x14ac:dyDescent="0.25">
      <c r="A142" s="124" t="s">
        <v>367</v>
      </c>
      <c r="B142" s="609" t="s">
        <v>368</v>
      </c>
      <c r="C142" s="609"/>
      <c r="D142" s="609"/>
      <c r="E142" s="117" t="s">
        <v>369</v>
      </c>
      <c r="F142" s="117"/>
      <c r="G142" s="117" t="s">
        <v>45</v>
      </c>
      <c r="H142" s="119" t="str">
        <f>IF(OR(Table_8_UK!J29=0,Table_8_UK!L29&gt;0),"PASS","FAIL")</f>
        <v>PASS</v>
      </c>
      <c r="I142" s="84" t="str">
        <f>Table_8_UK!J29&amp;", "&amp;Table_8_UK!L29</f>
        <v>2018, 1571</v>
      </c>
      <c r="K142" s="123"/>
      <c r="N142" s="89">
        <f t="shared" si="6"/>
        <v>0</v>
      </c>
      <c r="O142" s="89">
        <f t="shared" si="7"/>
        <v>0</v>
      </c>
    </row>
    <row r="143" spans="1:15" customFormat="1" ht="16.350000000000001" customHeight="1" x14ac:dyDescent="0.25">
      <c r="A143" s="124" t="s">
        <v>370</v>
      </c>
      <c r="B143" s="609" t="s">
        <v>371</v>
      </c>
      <c r="C143" s="609"/>
      <c r="D143" s="609"/>
      <c r="E143" s="117" t="s">
        <v>372</v>
      </c>
      <c r="F143" s="117"/>
      <c r="G143" s="117" t="s">
        <v>45</v>
      </c>
      <c r="H143" s="119" t="str">
        <f>IF(OR(Table_8_UK!J30=0,Table_8_UK!L30&gt;0),"PASS","FAIL")</f>
        <v>PASS</v>
      </c>
      <c r="I143" s="84" t="str">
        <f>Table_8_UK!J30&amp;", "&amp;Table_8_UK!L30</f>
        <v>3880, 1049</v>
      </c>
      <c r="K143" s="123"/>
      <c r="N143" s="89">
        <f t="shared" si="6"/>
        <v>0</v>
      </c>
      <c r="O143" s="89">
        <f t="shared" si="7"/>
        <v>0</v>
      </c>
    </row>
    <row r="144" spans="1:15" customFormat="1" ht="16.350000000000001" customHeight="1" x14ac:dyDescent="0.25">
      <c r="A144" s="124" t="s">
        <v>373</v>
      </c>
      <c r="B144" s="609" t="s">
        <v>374</v>
      </c>
      <c r="C144" s="609"/>
      <c r="D144" s="609"/>
      <c r="E144" s="117" t="s">
        <v>375</v>
      </c>
      <c r="F144" s="117"/>
      <c r="G144" s="117" t="s">
        <v>45</v>
      </c>
      <c r="H144" s="119" t="str">
        <f>IF(OR(Table_8_UK!J31=0,Table_8_UK!L31&gt;0),"PASS","FAIL")</f>
        <v>PASS</v>
      </c>
      <c r="I144" s="84" t="str">
        <f>Table_8_UK!J31&amp;", "&amp;Table_8_UK!L31</f>
        <v>1116, 241</v>
      </c>
      <c r="K144" s="123"/>
      <c r="N144" s="89">
        <f t="shared" si="6"/>
        <v>0</v>
      </c>
      <c r="O144" s="89">
        <f t="shared" si="7"/>
        <v>0</v>
      </c>
    </row>
    <row r="145" spans="1:15" customFormat="1" ht="16.350000000000001" customHeight="1" x14ac:dyDescent="0.25">
      <c r="A145" s="124" t="s">
        <v>376</v>
      </c>
      <c r="B145" s="609" t="s">
        <v>377</v>
      </c>
      <c r="C145" s="609"/>
      <c r="D145" s="609"/>
      <c r="E145" s="117" t="s">
        <v>378</v>
      </c>
      <c r="F145" s="117"/>
      <c r="G145" s="117" t="s">
        <v>45</v>
      </c>
      <c r="H145" s="119" t="str">
        <f>IF(OR(Table_8_UK!J32=0,Table_8_UK!L32&gt;0),"PASS","FAIL")</f>
        <v>PASS</v>
      </c>
      <c r="I145" s="84" t="str">
        <f>Table_8_UK!J32&amp;", "&amp;Table_8_UK!L32</f>
        <v>2003, 439</v>
      </c>
      <c r="K145" s="123"/>
      <c r="N145" s="89">
        <f t="shared" si="6"/>
        <v>0</v>
      </c>
      <c r="O145" s="89">
        <f t="shared" si="7"/>
        <v>0</v>
      </c>
    </row>
    <row r="146" spans="1:15" customFormat="1" ht="16.350000000000001" customHeight="1" x14ac:dyDescent="0.25">
      <c r="A146" s="124" t="s">
        <v>379</v>
      </c>
      <c r="B146" s="609" t="s">
        <v>380</v>
      </c>
      <c r="C146" s="609"/>
      <c r="D146" s="609"/>
      <c r="E146" s="117" t="s">
        <v>381</v>
      </c>
      <c r="F146" s="117"/>
      <c r="G146" s="117" t="s">
        <v>45</v>
      </c>
      <c r="H146" s="119" t="str">
        <f>IF(OR(Table_8_UK!J33=0,Table_8_UK!L33&gt;0),"PASS","FAIL")</f>
        <v>PASS</v>
      </c>
      <c r="I146" s="84" t="str">
        <f>Table_8_UK!J33&amp;", "&amp;Table_8_UK!L33</f>
        <v>3990, 950</v>
      </c>
      <c r="K146" s="123"/>
      <c r="N146" s="89">
        <f t="shared" si="6"/>
        <v>0</v>
      </c>
      <c r="O146" s="89">
        <f t="shared" si="7"/>
        <v>0</v>
      </c>
    </row>
    <row r="147" spans="1:15" customFormat="1" ht="16.350000000000001" customHeight="1" x14ac:dyDescent="0.25">
      <c r="A147" s="124" t="s">
        <v>382</v>
      </c>
      <c r="B147" s="609" t="s">
        <v>383</v>
      </c>
      <c r="C147" s="609"/>
      <c r="D147" s="609"/>
      <c r="E147" s="117" t="s">
        <v>384</v>
      </c>
      <c r="F147" s="117"/>
      <c r="G147" s="117" t="s">
        <v>45</v>
      </c>
      <c r="H147" s="119" t="str">
        <f>IF(OR(Table_8_UK!J34=0,Table_8_UK!L34&gt;0),"PASS","FAIL")</f>
        <v>PASS</v>
      </c>
      <c r="I147" s="84" t="str">
        <f>Table_8_UK!J34&amp;", "&amp;Table_8_UK!L34</f>
        <v>4184, 1328</v>
      </c>
      <c r="K147" s="123"/>
      <c r="N147" s="89">
        <f t="shared" si="6"/>
        <v>0</v>
      </c>
      <c r="O147" s="89">
        <f t="shared" si="7"/>
        <v>0</v>
      </c>
    </row>
    <row r="148" spans="1:15" customFormat="1" ht="16.350000000000001" customHeight="1" x14ac:dyDescent="0.25">
      <c r="A148" s="124" t="s">
        <v>385</v>
      </c>
      <c r="B148" s="609" t="s">
        <v>386</v>
      </c>
      <c r="C148" s="609"/>
      <c r="D148" s="609"/>
      <c r="E148" s="117" t="s">
        <v>387</v>
      </c>
      <c r="F148" s="117"/>
      <c r="G148" s="117" t="s">
        <v>45</v>
      </c>
      <c r="H148" s="119" t="str">
        <f>IF(OR(Table_8_UK!J35=0,Table_8_UK!L35&gt;0),"PASS","FAIL")</f>
        <v>PASS</v>
      </c>
      <c r="I148" s="84" t="str">
        <f>Table_8_UK!J35&amp;", "&amp;Table_8_UK!L35</f>
        <v>8501, 1243</v>
      </c>
      <c r="K148" s="123"/>
      <c r="N148" s="89">
        <f t="shared" si="6"/>
        <v>0</v>
      </c>
      <c r="O148" s="89">
        <f t="shared" si="7"/>
        <v>0</v>
      </c>
    </row>
    <row r="149" spans="1:15" customFormat="1" ht="16.350000000000001" customHeight="1" x14ac:dyDescent="0.25">
      <c r="A149" s="124" t="s">
        <v>388</v>
      </c>
      <c r="B149" s="609" t="s">
        <v>389</v>
      </c>
      <c r="C149" s="609"/>
      <c r="D149" s="609"/>
      <c r="E149" s="117" t="s">
        <v>390</v>
      </c>
      <c r="F149" s="117"/>
      <c r="G149" s="117" t="s">
        <v>45</v>
      </c>
      <c r="H149" s="119" t="str">
        <f>IF(OR(Table_8_UK!J36=0,Table_8_UK!L36&gt;0),"PASS","FAIL")</f>
        <v>PASS</v>
      </c>
      <c r="I149" s="84" t="str">
        <f>Table_8_UK!J36&amp;", "&amp;Table_8_UK!L36</f>
        <v>3070, 699</v>
      </c>
      <c r="K149" s="123"/>
      <c r="N149" s="89">
        <f t="shared" si="6"/>
        <v>0</v>
      </c>
      <c r="O149" s="89">
        <f t="shared" si="7"/>
        <v>0</v>
      </c>
    </row>
    <row r="150" spans="1:15" customFormat="1" ht="16.350000000000001" customHeight="1" x14ac:dyDescent="0.25">
      <c r="A150" s="124" t="s">
        <v>391</v>
      </c>
      <c r="B150" s="609" t="s">
        <v>392</v>
      </c>
      <c r="C150" s="609"/>
      <c r="D150" s="609"/>
      <c r="E150" s="117" t="s">
        <v>393</v>
      </c>
      <c r="F150" s="117"/>
      <c r="G150" s="117" t="s">
        <v>45</v>
      </c>
      <c r="H150" s="119" t="str">
        <f>IF(OR(Table_8_UK!J37=0,Table_8_UK!L37&gt;0),"PASS","FAIL")</f>
        <v>PASS</v>
      </c>
      <c r="I150" s="84" t="str">
        <f>Table_8_UK!J37&amp;", "&amp;Table_8_UK!L37</f>
        <v>6933, 1776</v>
      </c>
      <c r="K150" s="123"/>
      <c r="N150" s="89">
        <f t="shared" si="6"/>
        <v>0</v>
      </c>
      <c r="O150" s="89">
        <f t="shared" si="7"/>
        <v>0</v>
      </c>
    </row>
    <row r="151" spans="1:15" customFormat="1" ht="16.350000000000001" customHeight="1" x14ac:dyDescent="0.25">
      <c r="A151" s="124" t="s">
        <v>394</v>
      </c>
      <c r="B151" s="609" t="s">
        <v>395</v>
      </c>
      <c r="C151" s="609"/>
      <c r="D151" s="609"/>
      <c r="E151" s="117" t="s">
        <v>396</v>
      </c>
      <c r="F151" s="117"/>
      <c r="G151" s="117" t="s">
        <v>45</v>
      </c>
      <c r="H151" s="119" t="str">
        <f>IF(OR(Table_8_UK!J38=0,Table_8_UK!L38&gt;0),"PASS","FAIL")</f>
        <v>PASS</v>
      </c>
      <c r="I151" s="84" t="str">
        <f>Table_8_UK!J38&amp;", "&amp;Table_8_UK!L38</f>
        <v>14148, 6866</v>
      </c>
      <c r="K151" s="123"/>
      <c r="N151" s="89">
        <f t="shared" si="6"/>
        <v>0</v>
      </c>
      <c r="O151" s="89">
        <f t="shared" si="7"/>
        <v>0</v>
      </c>
    </row>
    <row r="152" spans="1:15" customFormat="1" ht="16.350000000000001" customHeight="1" x14ac:dyDescent="0.25">
      <c r="A152" s="124" t="s">
        <v>397</v>
      </c>
      <c r="B152" s="609" t="s">
        <v>398</v>
      </c>
      <c r="C152" s="609"/>
      <c r="D152" s="609"/>
      <c r="E152" s="117" t="s">
        <v>399</v>
      </c>
      <c r="F152" s="117"/>
      <c r="G152" s="117" t="s">
        <v>45</v>
      </c>
      <c r="H152" s="119" t="str">
        <f>IF(OR(Table_8_UK!J39=0,Table_8_UK!L39&gt;0),"PASS","FAIL")</f>
        <v>PASS</v>
      </c>
      <c r="I152" s="84" t="str">
        <f>Table_8_UK!J39&amp;", "&amp;Table_8_UK!L39</f>
        <v>0, 0</v>
      </c>
      <c r="K152" s="123"/>
      <c r="N152" s="89">
        <f t="shared" si="6"/>
        <v>0</v>
      </c>
      <c r="O152" s="89">
        <f t="shared" si="7"/>
        <v>0</v>
      </c>
    </row>
    <row r="153" spans="1:15" customFormat="1" ht="16.350000000000001" customHeight="1" x14ac:dyDescent="0.25">
      <c r="A153" s="124" t="s">
        <v>400</v>
      </c>
      <c r="B153" s="609" t="s">
        <v>401</v>
      </c>
      <c r="C153" s="609"/>
      <c r="D153" s="609"/>
      <c r="E153" s="117" t="s">
        <v>402</v>
      </c>
      <c r="F153" s="117"/>
      <c r="G153" s="117" t="s">
        <v>45</v>
      </c>
      <c r="H153" s="119" t="str">
        <f>IF(OR(Table_8_UK!J40=0,Table_8_UK!L40&gt;0),"PASS","FAIL")</f>
        <v>PASS</v>
      </c>
      <c r="I153" s="84" t="str">
        <f>Table_8_UK!J40&amp;", "&amp;Table_8_UK!L40</f>
        <v>12696, 3302</v>
      </c>
      <c r="K153" s="123"/>
      <c r="N153" s="89">
        <f t="shared" si="6"/>
        <v>0</v>
      </c>
      <c r="O153" s="89">
        <f t="shared" si="7"/>
        <v>0</v>
      </c>
    </row>
    <row r="154" spans="1:15" customFormat="1" ht="16.350000000000001" customHeight="1" x14ac:dyDescent="0.25">
      <c r="A154" s="124" t="s">
        <v>403</v>
      </c>
      <c r="B154" s="609" t="s">
        <v>404</v>
      </c>
      <c r="C154" s="609"/>
      <c r="D154" s="609"/>
      <c r="E154" s="117" t="s">
        <v>405</v>
      </c>
      <c r="F154" s="117"/>
      <c r="G154" s="117" t="s">
        <v>45</v>
      </c>
      <c r="H154" s="119" t="str">
        <f>IF(OR(Table_8_UK!J41=0,Table_8_UK!L41&gt;0),"PASS","FAIL")</f>
        <v>PASS</v>
      </c>
      <c r="I154" s="84" t="str">
        <f>Table_8_UK!J41&amp;", "&amp;Table_8_UK!L41</f>
        <v>4624, 644</v>
      </c>
      <c r="K154" s="123"/>
      <c r="N154" s="89">
        <f t="shared" ref="N154:N185" si="8">IF(AND(G154="Error",H154="FAIL"),1,0)</f>
        <v>0</v>
      </c>
      <c r="O154" s="89">
        <f t="shared" ref="O154:O185" si="9">IF(AND(G154="Warning",H154="FAIL"),1,0)</f>
        <v>0</v>
      </c>
    </row>
    <row r="155" spans="1:15" customFormat="1" ht="16.350000000000001" customHeight="1" x14ac:dyDescent="0.25">
      <c r="A155" s="124" t="s">
        <v>406</v>
      </c>
      <c r="B155" s="609" t="s">
        <v>407</v>
      </c>
      <c r="C155" s="609"/>
      <c r="D155" s="609"/>
      <c r="E155" s="117" t="s">
        <v>408</v>
      </c>
      <c r="F155" s="117"/>
      <c r="G155" s="117" t="s">
        <v>45</v>
      </c>
      <c r="H155" s="119" t="str">
        <f>IF(OR(Table_8_UK!J42=0,Table_8_UK!L42&gt;0),"PASS","FAIL")</f>
        <v>PASS</v>
      </c>
      <c r="I155" s="84" t="str">
        <f>Table_8_UK!J42&amp;", "&amp;Table_8_UK!L42</f>
        <v>9242, 1078</v>
      </c>
      <c r="K155" s="123"/>
      <c r="N155" s="89">
        <f t="shared" si="8"/>
        <v>0</v>
      </c>
      <c r="O155" s="89">
        <f t="shared" si="9"/>
        <v>0</v>
      </c>
    </row>
    <row r="156" spans="1:15" customFormat="1" ht="16.350000000000001" customHeight="1" x14ac:dyDescent="0.25">
      <c r="A156" s="124" t="s">
        <v>409</v>
      </c>
      <c r="B156" s="609" t="s">
        <v>410</v>
      </c>
      <c r="C156" s="609"/>
      <c r="D156" s="609"/>
      <c r="E156" s="117" t="s">
        <v>411</v>
      </c>
      <c r="F156" s="117"/>
      <c r="G156" s="117" t="s">
        <v>45</v>
      </c>
      <c r="H156" s="119" t="str">
        <f>IF(OR(Table_8_UK!J43=0,Table_8_UK!L43&gt;0),"PASS","FAIL")</f>
        <v>PASS</v>
      </c>
      <c r="I156" s="84" t="str">
        <f>Table_8_UK!J43&amp;", "&amp;Table_8_UK!L43</f>
        <v>3852, 1320</v>
      </c>
      <c r="K156" s="123"/>
      <c r="N156" s="89">
        <f t="shared" si="8"/>
        <v>0</v>
      </c>
      <c r="O156" s="89">
        <f t="shared" si="9"/>
        <v>0</v>
      </c>
    </row>
    <row r="157" spans="1:15" customFormat="1" ht="16.350000000000001" customHeight="1" x14ac:dyDescent="0.25">
      <c r="A157" s="124" t="s">
        <v>412</v>
      </c>
      <c r="B157" s="609" t="s">
        <v>413</v>
      </c>
      <c r="C157" s="609"/>
      <c r="D157" s="609"/>
      <c r="E157" s="117" t="s">
        <v>414</v>
      </c>
      <c r="F157" s="117"/>
      <c r="G157" s="117" t="s">
        <v>45</v>
      </c>
      <c r="H157" s="119" t="str">
        <f>IF(OR(Table_8_UK!J44=0,Table_8_UK!L44&gt;0),"PASS","FAIL")</f>
        <v>PASS</v>
      </c>
      <c r="I157" s="84" t="str">
        <f>Table_8_UK!J44&amp;", "&amp;Table_8_UK!L44</f>
        <v>5349, 889</v>
      </c>
      <c r="K157" s="123"/>
      <c r="N157" s="89">
        <f t="shared" si="8"/>
        <v>0</v>
      </c>
      <c r="O157" s="89">
        <f t="shared" si="9"/>
        <v>0</v>
      </c>
    </row>
    <row r="158" spans="1:15" customFormat="1" ht="16.350000000000001" customHeight="1" x14ac:dyDescent="0.25">
      <c r="A158" s="124" t="s">
        <v>415</v>
      </c>
      <c r="B158" s="609" t="s">
        <v>416</v>
      </c>
      <c r="C158" s="609"/>
      <c r="D158" s="609"/>
      <c r="E158" s="117" t="s">
        <v>417</v>
      </c>
      <c r="F158" s="117"/>
      <c r="G158" s="117" t="s">
        <v>45</v>
      </c>
      <c r="H158" s="119" t="str">
        <f>IF(OR(Table_8_UK!J45=0,Table_8_UK!L45&gt;0),"PASS","FAIL")</f>
        <v>PASS</v>
      </c>
      <c r="I158" s="84" t="str">
        <f>Table_8_UK!J45&amp;", "&amp;Table_8_UK!L45</f>
        <v>1807, 795</v>
      </c>
      <c r="K158" s="123"/>
      <c r="N158" s="89">
        <f t="shared" si="8"/>
        <v>0</v>
      </c>
      <c r="O158" s="89">
        <f t="shared" si="9"/>
        <v>0</v>
      </c>
    </row>
    <row r="159" spans="1:15" customFormat="1" ht="16.350000000000001" customHeight="1" x14ac:dyDescent="0.25">
      <c r="A159" s="124" t="s">
        <v>418</v>
      </c>
      <c r="B159" s="609" t="s">
        <v>419</v>
      </c>
      <c r="C159" s="609"/>
      <c r="D159" s="609"/>
      <c r="E159" s="117" t="s">
        <v>420</v>
      </c>
      <c r="F159" s="117"/>
      <c r="G159" s="117" t="s">
        <v>45</v>
      </c>
      <c r="H159" s="119" t="str">
        <f>IF(OR(Table_8_UK!J46=0,Table_8_UK!L46&gt;0),"PASS","FAIL")</f>
        <v>PASS</v>
      </c>
      <c r="I159" s="84" t="str">
        <f>Table_8_UK!J46&amp;", "&amp;Table_8_UK!L46</f>
        <v>3541, 1274</v>
      </c>
      <c r="K159" s="123"/>
      <c r="N159" s="89">
        <f t="shared" si="8"/>
        <v>0</v>
      </c>
      <c r="O159" s="89">
        <f t="shared" si="9"/>
        <v>0</v>
      </c>
    </row>
    <row r="160" spans="1:15" customFormat="1" ht="16.350000000000001" customHeight="1" x14ac:dyDescent="0.25">
      <c r="A160" s="124" t="s">
        <v>421</v>
      </c>
      <c r="B160" s="609" t="s">
        <v>422</v>
      </c>
      <c r="C160" s="609"/>
      <c r="D160" s="609"/>
      <c r="E160" s="117" t="s">
        <v>423</v>
      </c>
      <c r="F160" s="117"/>
      <c r="G160" s="117" t="s">
        <v>45</v>
      </c>
      <c r="H160" s="119" t="str">
        <f>IF(OR(Table_8_UK!J47=0,Table_8_UK!L47&gt;0),"PASS","FAIL")</f>
        <v>PASS</v>
      </c>
      <c r="I160" s="84" t="str">
        <f>Table_8_UK!J47&amp;", "&amp;Table_8_UK!L47</f>
        <v>2616, 1251</v>
      </c>
      <c r="K160" s="123"/>
      <c r="N160" s="89">
        <f t="shared" si="8"/>
        <v>0</v>
      </c>
      <c r="O160" s="89">
        <f t="shared" si="9"/>
        <v>0</v>
      </c>
    </row>
    <row r="161" spans="1:15" customFormat="1" ht="16.350000000000001" customHeight="1" x14ac:dyDescent="0.25">
      <c r="A161" s="124" t="s">
        <v>424</v>
      </c>
      <c r="B161" s="609" t="s">
        <v>425</v>
      </c>
      <c r="C161" s="609"/>
      <c r="D161" s="609"/>
      <c r="E161" s="117" t="s">
        <v>426</v>
      </c>
      <c r="F161" s="117"/>
      <c r="G161" s="117" t="s">
        <v>45</v>
      </c>
      <c r="H161" s="119" t="str">
        <f>IF(OR(Table_8_UK!J48=0,Table_8_UK!L48&gt;0),"PASS","FAIL")</f>
        <v>PASS</v>
      </c>
      <c r="I161" s="84" t="str">
        <f>Table_8_UK!J48&amp;", "&amp;Table_8_UK!L48</f>
        <v>10896, 1965</v>
      </c>
      <c r="K161" s="123"/>
      <c r="N161" s="89">
        <f t="shared" si="8"/>
        <v>0</v>
      </c>
      <c r="O161" s="89">
        <f t="shared" si="9"/>
        <v>0</v>
      </c>
    </row>
    <row r="162" spans="1:15" customFormat="1" ht="16.350000000000001" customHeight="1" x14ac:dyDescent="0.25">
      <c r="A162" s="124" t="s">
        <v>427</v>
      </c>
      <c r="B162" s="609" t="s">
        <v>428</v>
      </c>
      <c r="C162" s="609"/>
      <c r="D162" s="609"/>
      <c r="E162" s="117" t="s">
        <v>429</v>
      </c>
      <c r="F162" s="117"/>
      <c r="G162" s="117" t="s">
        <v>45</v>
      </c>
      <c r="H162" s="119" t="str">
        <f>IF(OR(Table_8_UK!J49=0,Table_8_UK!L49&gt;0),"PASS","FAIL")</f>
        <v>PASS</v>
      </c>
      <c r="I162" s="84" t="str">
        <f>Table_8_UK!J49&amp;", "&amp;Table_8_UK!L49</f>
        <v>1375, 641</v>
      </c>
      <c r="K162" s="123"/>
      <c r="N162" s="89">
        <f t="shared" si="8"/>
        <v>0</v>
      </c>
      <c r="O162" s="89">
        <f t="shared" si="9"/>
        <v>0</v>
      </c>
    </row>
    <row r="163" spans="1:15" customFormat="1" ht="16.350000000000001" customHeight="1" x14ac:dyDescent="0.25">
      <c r="A163" s="124" t="s">
        <v>430</v>
      </c>
      <c r="B163" s="609" t="s">
        <v>431</v>
      </c>
      <c r="C163" s="609"/>
      <c r="D163" s="609"/>
      <c r="E163" s="117" t="s">
        <v>432</v>
      </c>
      <c r="F163" s="117"/>
      <c r="G163" s="117" t="s">
        <v>45</v>
      </c>
      <c r="H163" s="119" t="str">
        <f>IF(OR(Table_8_UK!J50=0,Table_8_UK!L50&gt;0),"PASS","FAIL")</f>
        <v>PASS</v>
      </c>
      <c r="I163" s="84" t="str">
        <f>Table_8_UK!J50&amp;", "&amp;Table_8_UK!L50</f>
        <v>0, 0</v>
      </c>
      <c r="K163" s="123"/>
      <c r="N163" s="89">
        <f t="shared" si="8"/>
        <v>0</v>
      </c>
      <c r="O163" s="89">
        <f t="shared" si="9"/>
        <v>0</v>
      </c>
    </row>
    <row r="164" spans="1:15" customFormat="1" ht="16.350000000000001" customHeight="1" x14ac:dyDescent="0.25">
      <c r="A164" s="124" t="s">
        <v>433</v>
      </c>
      <c r="B164" s="609" t="s">
        <v>434</v>
      </c>
      <c r="C164" s="609"/>
      <c r="D164" s="609"/>
      <c r="E164" s="117" t="s">
        <v>435</v>
      </c>
      <c r="F164" s="117"/>
      <c r="G164" s="117" t="s">
        <v>45</v>
      </c>
      <c r="H164" s="119" t="str">
        <f>IF(Table_8_UK!L100&lt;&gt;0,"FAIL","PASS")</f>
        <v>PASS</v>
      </c>
      <c r="I164" s="84">
        <f>Table_8_UK!L100</f>
        <v>0</v>
      </c>
      <c r="K164" s="123"/>
      <c r="N164" s="89">
        <f t="shared" si="8"/>
        <v>0</v>
      </c>
      <c r="O164" s="89">
        <f t="shared" si="9"/>
        <v>0</v>
      </c>
    </row>
    <row r="165" spans="1:15" s="70" customFormat="1" ht="29.25" customHeight="1" x14ac:dyDescent="0.2">
      <c r="A165" s="131" t="s">
        <v>436</v>
      </c>
      <c r="B165" s="609" t="s">
        <v>437</v>
      </c>
      <c r="C165" s="609"/>
      <c r="D165" s="609"/>
      <c r="E165" s="133" t="s">
        <v>438</v>
      </c>
      <c r="F165" s="133"/>
      <c r="G165" s="133" t="s">
        <v>45</v>
      </c>
      <c r="H165" s="128" t="str">
        <f>IF(OR(Table_8_UK!O101&gt;=20000,IF(Table_8_UK!O101=0,0,(Table_8_UK!O101/Table_8_UK!O104)&gt;=0.1)),"FAIL","PASS")</f>
        <v>PASS</v>
      </c>
      <c r="I165" s="71">
        <f>Table_8_UK!O101</f>
        <v>19867</v>
      </c>
      <c r="J165" s="72"/>
      <c r="K165" s="137"/>
      <c r="L165" s="72"/>
      <c r="M165" s="72"/>
      <c r="N165" s="89">
        <f t="shared" si="8"/>
        <v>0</v>
      </c>
      <c r="O165" s="89">
        <f t="shared" si="9"/>
        <v>0</v>
      </c>
    </row>
    <row r="166" spans="1:15" s="70" customFormat="1" ht="16.350000000000001" customHeight="1" x14ac:dyDescent="0.2">
      <c r="A166" s="131" t="s">
        <v>439</v>
      </c>
      <c r="B166" s="609" t="s">
        <v>440</v>
      </c>
      <c r="C166" s="609"/>
      <c r="D166" s="609"/>
      <c r="E166" s="133" t="s">
        <v>441</v>
      </c>
      <c r="F166" s="133"/>
      <c r="G166" s="133" t="s">
        <v>45</v>
      </c>
      <c r="H166" s="128" t="str">
        <f>IF(Table_8_UK!O58+Table_8_UK!O59=0,"FAIL","PASS")</f>
        <v>PASS</v>
      </c>
      <c r="I166" s="71" t="str">
        <f>Table_8_UK!O58&amp;", "&amp;Table_8_UK!O59</f>
        <v>1975, 12665</v>
      </c>
      <c r="J166" s="72"/>
      <c r="K166" s="137"/>
      <c r="L166" s="72"/>
      <c r="M166" s="72"/>
      <c r="N166" s="89">
        <f t="shared" si="8"/>
        <v>0</v>
      </c>
      <c r="O166" s="89">
        <f t="shared" si="9"/>
        <v>0</v>
      </c>
    </row>
    <row r="167" spans="1:15" s="70" customFormat="1" ht="29.1" customHeight="1" x14ac:dyDescent="0.2">
      <c r="A167" s="131" t="s">
        <v>442</v>
      </c>
      <c r="B167" s="609" t="s">
        <v>443</v>
      </c>
      <c r="C167" s="609"/>
      <c r="D167" s="609"/>
      <c r="E167" s="133" t="s">
        <v>444</v>
      </c>
      <c r="F167" s="133"/>
      <c r="G167" s="133" t="s">
        <v>38</v>
      </c>
      <c r="H167" s="119" t="str">
        <f>IF(AND(Table_8_UK!L104&gt;0,(Table_8_UK!L104&lt;&gt;Table_1_UK!H17)),"FAIL","PASS")</f>
        <v>PASS</v>
      </c>
      <c r="I167" s="71" t="str">
        <f>Table_8_UK!L104&amp;", "&amp;Table_1_UK!H17</f>
        <v>358578, 358578</v>
      </c>
      <c r="J167" s="72"/>
      <c r="K167" s="137"/>
      <c r="L167" s="72"/>
      <c r="M167" s="72"/>
      <c r="N167" s="89">
        <f t="shared" si="8"/>
        <v>0</v>
      </c>
      <c r="O167" s="89">
        <f t="shared" si="9"/>
        <v>0</v>
      </c>
    </row>
    <row r="168" spans="1:15" s="70" customFormat="1" ht="29.25" customHeight="1" x14ac:dyDescent="0.2">
      <c r="A168" s="131" t="s">
        <v>445</v>
      </c>
      <c r="B168" s="609" t="s">
        <v>446</v>
      </c>
      <c r="C168" s="609"/>
      <c r="D168" s="609"/>
      <c r="E168" s="133" t="s">
        <v>447</v>
      </c>
      <c r="F168" s="133"/>
      <c r="G168" s="133" t="s">
        <v>38</v>
      </c>
      <c r="H168" s="119" t="str">
        <f>IF(AND(Table_8_UK!M104&gt;0,(Table_8_UK!M104&lt;&gt;Table_1_UK!H18)),"FAIL","PASS")</f>
        <v>PASS</v>
      </c>
      <c r="I168" s="71" t="str">
        <f>Table_8_UK!M104&amp;", "&amp;Table_1_UK!H18</f>
        <v>60197, 60197</v>
      </c>
      <c r="J168" s="72"/>
      <c r="K168" s="137"/>
      <c r="L168" s="72"/>
      <c r="M168" s="72"/>
      <c r="N168" s="89">
        <f t="shared" si="8"/>
        <v>0</v>
      </c>
      <c r="O168" s="89">
        <f t="shared" si="9"/>
        <v>0</v>
      </c>
    </row>
    <row r="169" spans="1:15" s="70" customFormat="1" ht="31.5" customHeight="1" x14ac:dyDescent="0.2">
      <c r="A169" s="131" t="s">
        <v>448</v>
      </c>
      <c r="B169" s="609" t="s">
        <v>449</v>
      </c>
      <c r="C169" s="609"/>
      <c r="D169" s="609"/>
      <c r="E169" s="133" t="s">
        <v>450</v>
      </c>
      <c r="F169" s="133"/>
      <c r="G169" s="133" t="s">
        <v>38</v>
      </c>
      <c r="H169" s="119" t="str">
        <f>IF(AND(Table_8_UK!N104&gt;0,(Table_8_UK!N104&lt;&gt;Table_1_UK!H19)),"FAIL","PASS")</f>
        <v>PASS</v>
      </c>
      <c r="I169" s="71" t="str">
        <f>Table_8_UK!N104&amp;", "&amp;Table_1_UK!H19</f>
        <v>16840, 16840</v>
      </c>
      <c r="J169" s="72"/>
      <c r="K169" s="137"/>
      <c r="L169" s="72"/>
      <c r="M169" s="72"/>
      <c r="N169" s="89">
        <f t="shared" si="8"/>
        <v>0</v>
      </c>
      <c r="O169" s="89">
        <f t="shared" si="9"/>
        <v>0</v>
      </c>
    </row>
    <row r="170" spans="1:15" s="70" customFormat="1" ht="16.350000000000001" customHeight="1" x14ac:dyDescent="0.2">
      <c r="A170" s="131" t="s">
        <v>451</v>
      </c>
      <c r="B170" s="609" t="s">
        <v>452</v>
      </c>
      <c r="C170" s="609"/>
      <c r="D170" s="609"/>
      <c r="E170" s="133" t="s">
        <v>444</v>
      </c>
      <c r="F170" s="133"/>
      <c r="G170" s="133" t="s">
        <v>45</v>
      </c>
      <c r="H170" s="119" t="str">
        <f>IF(Table_8_UK!L104&lt;&gt;Table_1_UK!H17,"FAIL","PASS")</f>
        <v>PASS</v>
      </c>
      <c r="I170" s="71" t="str">
        <f>Table_8_UK!L104&amp;", "&amp;Table_1_UK!H17</f>
        <v>358578, 358578</v>
      </c>
      <c r="J170" s="72"/>
      <c r="K170" s="137"/>
      <c r="L170" s="72"/>
      <c r="M170" s="72"/>
      <c r="N170" s="89">
        <f t="shared" si="8"/>
        <v>0</v>
      </c>
      <c r="O170" s="89">
        <f t="shared" si="9"/>
        <v>0</v>
      </c>
    </row>
    <row r="171" spans="1:15" s="70" customFormat="1" ht="16.350000000000001" customHeight="1" x14ac:dyDescent="0.2">
      <c r="A171" s="131" t="s">
        <v>453</v>
      </c>
      <c r="B171" s="609" t="s">
        <v>454</v>
      </c>
      <c r="C171" s="609"/>
      <c r="D171" s="609"/>
      <c r="E171" s="133" t="s">
        <v>447</v>
      </c>
      <c r="F171" s="133"/>
      <c r="G171" s="133" t="s">
        <v>45</v>
      </c>
      <c r="H171" s="119" t="str">
        <f>IF(Table_8_UK!M104&lt;&gt;Table_1_UK!H18,"FAIL","PASS")</f>
        <v>PASS</v>
      </c>
      <c r="I171" s="71" t="str">
        <f>Table_8_UK!M104&amp;", "&amp;Table_1_UK!H18</f>
        <v>60197, 60197</v>
      </c>
      <c r="J171" s="72"/>
      <c r="K171" s="137"/>
      <c r="L171" s="72"/>
      <c r="M171" s="72"/>
      <c r="N171" s="89">
        <f t="shared" si="8"/>
        <v>0</v>
      </c>
      <c r="O171" s="89">
        <f t="shared" si="9"/>
        <v>0</v>
      </c>
    </row>
    <row r="172" spans="1:15" s="70" customFormat="1" ht="30" customHeight="1" x14ac:dyDescent="0.2">
      <c r="A172" s="131" t="s">
        <v>455</v>
      </c>
      <c r="B172" s="609" t="s">
        <v>456</v>
      </c>
      <c r="C172" s="609"/>
      <c r="D172" s="609"/>
      <c r="E172" s="133" t="s">
        <v>450</v>
      </c>
      <c r="F172" s="133"/>
      <c r="G172" s="133" t="s">
        <v>45</v>
      </c>
      <c r="H172" s="119" t="str">
        <f>IF(Table_8_UK!N104&lt;&gt;Table_1_UK!H19,"FAIL","PASS")</f>
        <v>PASS</v>
      </c>
      <c r="I172" s="71" t="str">
        <f>Table_8_UK!N104&amp;", "&amp;Table_1_UK!H19</f>
        <v>16840, 16840</v>
      </c>
      <c r="J172" s="72"/>
      <c r="K172" s="137"/>
      <c r="L172" s="72"/>
      <c r="M172" s="72"/>
      <c r="N172" s="89">
        <f t="shared" si="8"/>
        <v>0</v>
      </c>
      <c r="O172" s="89">
        <f t="shared" si="9"/>
        <v>0</v>
      </c>
    </row>
    <row r="173" spans="1:15" s="70" customFormat="1" ht="27" customHeight="1" x14ac:dyDescent="0.2">
      <c r="A173" s="131" t="s">
        <v>457</v>
      </c>
      <c r="B173" s="609" t="s">
        <v>458</v>
      </c>
      <c r="C173" s="609"/>
      <c r="D173" s="609"/>
      <c r="E173" s="133" t="s">
        <v>444</v>
      </c>
      <c r="F173" s="133"/>
      <c r="G173" s="119" t="s">
        <v>38</v>
      </c>
      <c r="H173" s="119" t="str">
        <f>IF(AND(Table_1_UK!H17=0,Table_8_UK!L104=0),"PASS",IF(AND(Table_8_UK!L104&gt;0,Table_1_UK!H17=0),"FAIL","PASS"))</f>
        <v>PASS</v>
      </c>
      <c r="I173" s="71" t="str">
        <f>Table_8_UK!L104&amp;", "&amp;Table_1_UK!H17</f>
        <v>358578, 358578</v>
      </c>
      <c r="J173" s="72"/>
      <c r="K173" s="137"/>
      <c r="L173" s="72"/>
      <c r="M173" s="72"/>
      <c r="N173" s="89">
        <f t="shared" si="8"/>
        <v>0</v>
      </c>
      <c r="O173" s="89">
        <f t="shared" si="9"/>
        <v>0</v>
      </c>
    </row>
    <row r="174" spans="1:15" s="70" customFormat="1" x14ac:dyDescent="0.2">
      <c r="A174" s="131" t="s">
        <v>459</v>
      </c>
      <c r="B174" s="609" t="s">
        <v>460</v>
      </c>
      <c r="C174" s="609"/>
      <c r="D174" s="609"/>
      <c r="E174" s="133" t="s">
        <v>447</v>
      </c>
      <c r="F174" s="133"/>
      <c r="G174" s="119" t="s">
        <v>38</v>
      </c>
      <c r="H174" s="119" t="str">
        <f>IF(AND(Table_1_UK!H18=0,Table_8_UK!M104=0),"PASS",IF(AND(Table_8_UK!M104&gt;0,Table_1_UK!H18=0),"FAIL","PASS"))</f>
        <v>PASS</v>
      </c>
      <c r="I174" s="71" t="str">
        <f>Table_8_UK!M104&amp;", "&amp;Table_1_UK!H18</f>
        <v>60197, 60197</v>
      </c>
      <c r="J174" s="72"/>
      <c r="K174" s="137"/>
      <c r="L174" s="72"/>
      <c r="M174" s="72"/>
      <c r="N174" s="89">
        <f t="shared" si="8"/>
        <v>0</v>
      </c>
      <c r="O174" s="89">
        <f t="shared" si="9"/>
        <v>0</v>
      </c>
    </row>
    <row r="175" spans="1:15" s="70" customFormat="1" ht="28.5" customHeight="1" x14ac:dyDescent="0.2">
      <c r="A175" s="131" t="s">
        <v>461</v>
      </c>
      <c r="B175" s="609" t="s">
        <v>462</v>
      </c>
      <c r="C175" s="609"/>
      <c r="D175" s="609"/>
      <c r="E175" s="133" t="s">
        <v>450</v>
      </c>
      <c r="F175" s="133"/>
      <c r="G175" s="119" t="s">
        <v>38</v>
      </c>
      <c r="H175" s="119" t="str">
        <f>IF(AND(Table_1_UK!H19=0,Table_8_UK!N104=0),"PASS",IF(AND(Table_8_UK!N104&gt;0,Table_1_UK!H19=0),"FAIL","PASS"))</f>
        <v>PASS</v>
      </c>
      <c r="I175" s="71" t="str">
        <f>Table_8_UK!N104&amp;", "&amp;Table_1_UK!H19</f>
        <v>16840, 16840</v>
      </c>
      <c r="J175" s="72"/>
      <c r="K175" s="137"/>
      <c r="L175" s="72"/>
      <c r="M175" s="72"/>
      <c r="N175" s="89">
        <f t="shared" si="8"/>
        <v>0</v>
      </c>
      <c r="O175" s="89">
        <f t="shared" si="9"/>
        <v>0</v>
      </c>
    </row>
    <row r="176" spans="1:15" s="70" customFormat="1" ht="16.350000000000001" customHeight="1" x14ac:dyDescent="0.2">
      <c r="A176" s="131" t="s">
        <v>463</v>
      </c>
      <c r="B176" s="609" t="s">
        <v>464</v>
      </c>
      <c r="C176" s="609"/>
      <c r="D176" s="609"/>
      <c r="E176" s="133" t="s">
        <v>465</v>
      </c>
      <c r="F176" s="133"/>
      <c r="G176" s="119" t="s">
        <v>38</v>
      </c>
      <c r="H176" s="119" t="str">
        <f>IF(AND(Table_8_UK!J104&gt;0,(Table_8_UK!J104&lt;&gt;Table_1_UK!H15)),"FAIL","PASS")</f>
        <v>PASS</v>
      </c>
      <c r="I176" s="71" t="str">
        <f>Table_8_UK!J104&amp;", "&amp;Table_1_UK!H15</f>
        <v>521373, 521373</v>
      </c>
      <c r="J176" s="72"/>
      <c r="K176" s="137"/>
      <c r="L176" s="72"/>
      <c r="M176" s="72"/>
      <c r="N176" s="89">
        <f t="shared" si="8"/>
        <v>0</v>
      </c>
      <c r="O176" s="89">
        <f t="shared" si="9"/>
        <v>0</v>
      </c>
    </row>
    <row r="177" spans="1:15" s="70" customFormat="1" ht="29.25" customHeight="1" x14ac:dyDescent="0.2">
      <c r="A177" s="131" t="s">
        <v>466</v>
      </c>
      <c r="B177" s="609" t="s">
        <v>467</v>
      </c>
      <c r="C177" s="609"/>
      <c r="D177" s="609"/>
      <c r="E177" s="133" t="s">
        <v>468</v>
      </c>
      <c r="F177" s="133"/>
      <c r="G177" s="119" t="s">
        <v>38</v>
      </c>
      <c r="H177" s="119" t="str">
        <f>IF(AND(Table_8_UK!K104&gt;0,(Table_8_UK!K104&lt;&gt;Table_1_UK!H16)),"FAIL","PASS")</f>
        <v>PASS</v>
      </c>
      <c r="I177" s="71" t="str">
        <f>Table_8_UK!K104&amp;", "&amp;Table_1_UK!H16</f>
        <v>0, 0</v>
      </c>
      <c r="J177" s="72"/>
      <c r="K177" s="137"/>
      <c r="L177" s="72"/>
      <c r="M177" s="72"/>
      <c r="N177" s="89">
        <f t="shared" si="8"/>
        <v>0</v>
      </c>
      <c r="O177" s="89">
        <f t="shared" si="9"/>
        <v>0</v>
      </c>
    </row>
    <row r="178" spans="1:15" s="70" customFormat="1" ht="15.4" customHeight="1" x14ac:dyDescent="0.2">
      <c r="A178" s="131" t="s">
        <v>469</v>
      </c>
      <c r="B178" s="609" t="s">
        <v>470</v>
      </c>
      <c r="C178" s="609"/>
      <c r="D178" s="609"/>
      <c r="E178" s="133" t="s">
        <v>465</v>
      </c>
      <c r="F178" s="133"/>
      <c r="G178" s="119" t="s">
        <v>45</v>
      </c>
      <c r="H178" s="119" t="str">
        <f>IF(Table_8_UK!J104&lt;&gt;Table_1_UK!H15,"FAIL","PASS")</f>
        <v>PASS</v>
      </c>
      <c r="I178" s="71" t="str">
        <f>Table_8_UK!J104&amp;", "&amp;Table_1_UK!H15</f>
        <v>521373, 521373</v>
      </c>
      <c r="J178" s="72"/>
      <c r="K178" s="137"/>
      <c r="L178" s="72"/>
      <c r="M178" s="72"/>
      <c r="N178" s="89">
        <f t="shared" si="8"/>
        <v>0</v>
      </c>
      <c r="O178" s="89">
        <f t="shared" si="9"/>
        <v>0</v>
      </c>
    </row>
    <row r="179" spans="1:15" s="70" customFormat="1" ht="26.25" customHeight="1" x14ac:dyDescent="0.2">
      <c r="A179" s="131" t="s">
        <v>471</v>
      </c>
      <c r="B179" s="609" t="s">
        <v>472</v>
      </c>
      <c r="C179" s="609"/>
      <c r="D179" s="609"/>
      <c r="E179" s="133" t="s">
        <v>468</v>
      </c>
      <c r="F179" s="133"/>
      <c r="G179" s="119" t="s">
        <v>45</v>
      </c>
      <c r="H179" s="119" t="str">
        <f>IF(Table_8_UK!K104&lt;&gt;Table_1_UK!H16,"FAIL","PASS")</f>
        <v>PASS</v>
      </c>
      <c r="I179" s="71" t="str">
        <f>Table_8_UK!K104&amp;", "&amp;Table_1_UK!H16</f>
        <v>0, 0</v>
      </c>
      <c r="J179" s="72"/>
      <c r="K179" s="137"/>
      <c r="L179" s="72"/>
      <c r="M179" s="72"/>
      <c r="N179" s="89">
        <f t="shared" si="8"/>
        <v>0</v>
      </c>
      <c r="O179" s="89">
        <f t="shared" si="9"/>
        <v>0</v>
      </c>
    </row>
    <row r="180" spans="1:15" s="70" customFormat="1" ht="15.4" customHeight="1" x14ac:dyDescent="0.2">
      <c r="A180" s="131" t="s">
        <v>473</v>
      </c>
      <c r="B180" s="609" t="s">
        <v>474</v>
      </c>
      <c r="C180" s="609"/>
      <c r="D180" s="609"/>
      <c r="E180" s="133" t="s">
        <v>465</v>
      </c>
      <c r="F180" s="133"/>
      <c r="G180" s="119" t="s">
        <v>38</v>
      </c>
      <c r="H180" s="119" t="str">
        <f>IF(AND(Table_1_UK!H15=0,Table_8_UK!J104=0),"PASS",IF(AND(Table_8_UK!J104&gt;0,Table_1_UK!H15=0),"FAIL","PASS"))</f>
        <v>PASS</v>
      </c>
      <c r="I180" s="71" t="str">
        <f>Table_8_UK!J104&amp;", "&amp;Table_1_UK!H15</f>
        <v>521373, 521373</v>
      </c>
      <c r="J180" s="72"/>
      <c r="K180" s="137"/>
      <c r="L180" s="72"/>
      <c r="M180" s="72"/>
      <c r="N180" s="89">
        <f t="shared" si="8"/>
        <v>0</v>
      </c>
      <c r="O180" s="89">
        <f t="shared" si="9"/>
        <v>0</v>
      </c>
    </row>
    <row r="181" spans="1:15" s="70" customFormat="1" ht="25.5" customHeight="1" x14ac:dyDescent="0.2">
      <c r="A181" s="131" t="s">
        <v>475</v>
      </c>
      <c r="B181" s="609" t="s">
        <v>476</v>
      </c>
      <c r="C181" s="609"/>
      <c r="D181" s="609"/>
      <c r="E181" s="133" t="s">
        <v>468</v>
      </c>
      <c r="F181" s="133"/>
      <c r="G181" s="119" t="s">
        <v>38</v>
      </c>
      <c r="H181" s="119" t="str">
        <f>IF(AND(Table_8_UK!K104&gt;0,(Table_8_UK!K104&lt;&gt;Table_1_UK!H16)),"FAIL","PASS")</f>
        <v>PASS</v>
      </c>
      <c r="I181" s="71" t="str">
        <f>Table_8_UK!K104&amp;", "&amp;Table_1_UK!H16</f>
        <v>0, 0</v>
      </c>
      <c r="J181" s="72"/>
      <c r="K181" s="137"/>
      <c r="L181" s="72"/>
      <c r="M181" s="72"/>
      <c r="N181" s="89">
        <f t="shared" si="8"/>
        <v>0</v>
      </c>
      <c r="O181" s="89">
        <f t="shared" si="9"/>
        <v>0</v>
      </c>
    </row>
    <row r="182" spans="1:15" customFormat="1" ht="16.350000000000001" customHeight="1" x14ac:dyDescent="0.25">
      <c r="A182" s="124" t="s">
        <v>477</v>
      </c>
      <c r="B182" s="609" t="s">
        <v>478</v>
      </c>
      <c r="C182" s="609"/>
      <c r="D182" s="609"/>
      <c r="E182" s="117" t="s">
        <v>479</v>
      </c>
      <c r="F182" s="117"/>
      <c r="G182" s="117" t="s">
        <v>45</v>
      </c>
      <c r="H182" s="119" t="str">
        <f>IF(Table_9_UK!H6&gt;=0,"PASS","FAIL")</f>
        <v>PASS</v>
      </c>
      <c r="I182" s="84">
        <f>Table_9_UK!H6</f>
        <v>18652</v>
      </c>
      <c r="J182" s="85"/>
      <c r="K182" s="123"/>
      <c r="N182" s="89">
        <f t="shared" si="8"/>
        <v>0</v>
      </c>
      <c r="O182" s="89">
        <f t="shared" si="9"/>
        <v>0</v>
      </c>
    </row>
    <row r="183" spans="1:15" customFormat="1" ht="16.350000000000001" customHeight="1" x14ac:dyDescent="0.25">
      <c r="A183" s="124" t="s">
        <v>480</v>
      </c>
      <c r="B183" s="609" t="s">
        <v>481</v>
      </c>
      <c r="C183" s="609"/>
      <c r="D183" s="609"/>
      <c r="E183" s="117" t="s">
        <v>482</v>
      </c>
      <c r="F183" s="117"/>
      <c r="G183" s="117" t="s">
        <v>45</v>
      </c>
      <c r="H183" s="119" t="str">
        <f>IF(Table_9_UK!H7&gt;=0,"PASS","FAIL")</f>
        <v>PASS</v>
      </c>
      <c r="I183" s="84">
        <f>Table_9_UK!H7</f>
        <v>382</v>
      </c>
      <c r="J183" s="85"/>
      <c r="K183" s="123"/>
      <c r="N183" s="89">
        <f t="shared" si="8"/>
        <v>0</v>
      </c>
      <c r="O183" s="89">
        <f t="shared" si="9"/>
        <v>0</v>
      </c>
    </row>
    <row r="184" spans="1:15" customFormat="1" ht="16.350000000000001" customHeight="1" x14ac:dyDescent="0.25">
      <c r="A184" s="124" t="s">
        <v>483</v>
      </c>
      <c r="B184" s="609" t="s">
        <v>484</v>
      </c>
      <c r="C184" s="609"/>
      <c r="D184" s="609"/>
      <c r="E184" s="117" t="s">
        <v>485</v>
      </c>
      <c r="F184" s="117"/>
      <c r="G184" s="117" t="s">
        <v>45</v>
      </c>
      <c r="H184" s="119" t="str">
        <f>IF(Table_9_UK!H10&gt;=0,"PASS","FAIL")</f>
        <v>PASS</v>
      </c>
      <c r="I184" s="84">
        <f>Table_9_UK!H10</f>
        <v>0</v>
      </c>
      <c r="J184" s="85"/>
      <c r="K184" s="123"/>
      <c r="N184" s="89">
        <f t="shared" si="8"/>
        <v>0</v>
      </c>
      <c r="O184" s="89">
        <f t="shared" si="9"/>
        <v>0</v>
      </c>
    </row>
    <row r="185" spans="1:15" customFormat="1" ht="16.350000000000001" customHeight="1" x14ac:dyDescent="0.25">
      <c r="A185" s="124" t="s">
        <v>486</v>
      </c>
      <c r="B185" s="609" t="s">
        <v>487</v>
      </c>
      <c r="C185" s="609"/>
      <c r="D185" s="609"/>
      <c r="E185" s="117" t="s">
        <v>488</v>
      </c>
      <c r="F185" s="117"/>
      <c r="G185" s="117" t="s">
        <v>45</v>
      </c>
      <c r="H185" s="119" t="str">
        <f>IF(Table_9_UK!H11&gt;=0,"PASS","FAIL")</f>
        <v>PASS</v>
      </c>
      <c r="I185" s="84">
        <f>Table_9_UK!H11</f>
        <v>44</v>
      </c>
      <c r="J185" s="85"/>
      <c r="K185" s="123"/>
      <c r="N185" s="89">
        <f t="shared" si="8"/>
        <v>0</v>
      </c>
      <c r="O185" s="89">
        <f t="shared" si="9"/>
        <v>0</v>
      </c>
    </row>
    <row r="186" spans="1:15" customFormat="1" ht="16.350000000000001" customHeight="1" x14ac:dyDescent="0.25">
      <c r="A186" s="124" t="s">
        <v>489</v>
      </c>
      <c r="B186" s="609" t="s">
        <v>490</v>
      </c>
      <c r="C186" s="609"/>
      <c r="D186" s="609"/>
      <c r="E186" s="117" t="s">
        <v>491</v>
      </c>
      <c r="F186" s="117"/>
      <c r="G186" s="117" t="s">
        <v>45</v>
      </c>
      <c r="H186" s="119" t="str">
        <f>IF(Table_9_UK!H14&gt;=0,"PASS","FAIL")</f>
        <v>PASS</v>
      </c>
      <c r="I186" s="84">
        <f>Table_9_UK!H14</f>
        <v>141393</v>
      </c>
      <c r="J186" s="85"/>
      <c r="K186" s="85"/>
      <c r="N186" s="89">
        <f t="shared" ref="N186:N217" si="10">IF(AND(G186="Error",H186="FAIL"),1,0)</f>
        <v>0</v>
      </c>
      <c r="O186" s="89">
        <f t="shared" ref="O186:O217" si="11">IF(AND(G186="Warning",H186="FAIL"),1,0)</f>
        <v>0</v>
      </c>
    </row>
    <row r="187" spans="1:15" customFormat="1" ht="16.350000000000001" customHeight="1" x14ac:dyDescent="0.25">
      <c r="A187" s="124" t="s">
        <v>492</v>
      </c>
      <c r="B187" s="609" t="s">
        <v>493</v>
      </c>
      <c r="C187" s="609"/>
      <c r="D187" s="609"/>
      <c r="E187" s="117" t="s">
        <v>494</v>
      </c>
      <c r="F187" s="117"/>
      <c r="G187" s="117" t="s">
        <v>45</v>
      </c>
      <c r="H187" s="119" t="str">
        <f>IF(Table_9_UK!H15&gt;=0,"PASS","FAIL")</f>
        <v>PASS</v>
      </c>
      <c r="I187" s="84">
        <f>Table_9_UK!H15</f>
        <v>25237</v>
      </c>
      <c r="K187" s="85"/>
      <c r="N187" s="89">
        <f t="shared" si="10"/>
        <v>0</v>
      </c>
      <c r="O187" s="89">
        <f t="shared" si="11"/>
        <v>0</v>
      </c>
    </row>
    <row r="188" spans="1:15" customFormat="1" ht="16.350000000000001" customHeight="1" x14ac:dyDescent="0.25">
      <c r="A188" s="124" t="s">
        <v>495</v>
      </c>
      <c r="B188" s="609" t="s">
        <v>496</v>
      </c>
      <c r="C188" s="609"/>
      <c r="D188" s="609"/>
      <c r="E188" s="117" t="s">
        <v>497</v>
      </c>
      <c r="F188" s="117"/>
      <c r="G188" s="117" t="s">
        <v>45</v>
      </c>
      <c r="H188" s="119" t="str">
        <f>IF(Table_9_UK!H17&gt;=0,"PASS","FAIL")</f>
        <v>PASS</v>
      </c>
      <c r="I188" s="84">
        <f>Table_9_UK!H17</f>
        <v>185708</v>
      </c>
      <c r="N188" s="89">
        <f t="shared" si="10"/>
        <v>0</v>
      </c>
      <c r="O188" s="89">
        <f t="shared" si="11"/>
        <v>0</v>
      </c>
    </row>
    <row r="189" spans="1:15" customFormat="1" ht="25.15" customHeight="1" x14ac:dyDescent="0.25">
      <c r="A189" s="124" t="s">
        <v>498</v>
      </c>
      <c r="B189" s="609" t="s">
        <v>499</v>
      </c>
      <c r="C189" s="609"/>
      <c r="D189" s="609"/>
      <c r="E189" s="612" t="s">
        <v>500</v>
      </c>
      <c r="F189" s="612"/>
      <c r="G189" s="117" t="s">
        <v>38</v>
      </c>
      <c r="H189" s="132" t="str">
        <f>IF(OR(Table_9_UK!H6&gt;400000,Table_9_UK!H7&gt;400000,Table_9_UK!H10&gt;400000,Table_9_UK!H11&gt;400000,Table_9_UK!H14&gt;400000,Table_9_UK!H15&gt;400000),"FAIL","PASS")</f>
        <v>PASS</v>
      </c>
      <c r="I189" s="84" t="str">
        <f>Table_9_UK!H6&amp;", "&amp;Table_9_UK!H7&amp;", "&amp;Table_9_UK!H10&amp;", "&amp;Table_9_UK!H11&amp;", "&amp;Table_9_UK!H14&amp;", "&amp;Table_9_UK!H15</f>
        <v>18652, 382, 0, 44, 141393, 25237</v>
      </c>
      <c r="J189" s="138"/>
      <c r="K189" s="138"/>
      <c r="N189" s="89">
        <f t="shared" si="10"/>
        <v>0</v>
      </c>
      <c r="O189" s="89">
        <f t="shared" si="11"/>
        <v>0</v>
      </c>
    </row>
    <row r="190" spans="1:15" customFormat="1" ht="16.350000000000001" customHeight="1" x14ac:dyDescent="0.25">
      <c r="A190" s="124" t="s">
        <v>501</v>
      </c>
      <c r="B190" s="609" t="s">
        <v>502</v>
      </c>
      <c r="C190" s="609"/>
      <c r="D190" s="609"/>
      <c r="E190" s="117" t="s">
        <v>503</v>
      </c>
      <c r="F190" s="117"/>
      <c r="G190" s="119" t="s">
        <v>45</v>
      </c>
      <c r="H190" s="119" t="str">
        <f>IF(AND(Table_9_UK!I6=0,Table_9_UK!I7=0),"PASS","FAIL")</f>
        <v>PASS</v>
      </c>
      <c r="I190" s="84" t="str">
        <f>Table_9_UK!I6&amp;", "&amp;Table_9_UK!I7</f>
        <v>0, 0</v>
      </c>
      <c r="K190" s="85"/>
      <c r="N190" s="89">
        <f t="shared" si="10"/>
        <v>0</v>
      </c>
      <c r="O190" s="89">
        <f t="shared" si="11"/>
        <v>0</v>
      </c>
    </row>
    <row r="191" spans="1:15" customFormat="1" ht="16.350000000000001" customHeight="1" x14ac:dyDescent="0.25">
      <c r="A191" s="124" t="s">
        <v>504</v>
      </c>
      <c r="B191" s="609" t="s">
        <v>505</v>
      </c>
      <c r="C191" s="609"/>
      <c r="D191" s="609"/>
      <c r="E191" s="117" t="s">
        <v>506</v>
      </c>
      <c r="F191" s="117"/>
      <c r="G191" s="119" t="s">
        <v>45</v>
      </c>
      <c r="H191" s="119" t="str">
        <f>IF(AND(Table_9_UK!I10=0,Table_9_UK!I11=0),"PASS","FAIL")</f>
        <v>PASS</v>
      </c>
      <c r="I191" s="84" t="str">
        <f>Table_9_UK!I10&amp;", "&amp;Table_9_UK!I11</f>
        <v>0, 0</v>
      </c>
      <c r="J191" s="85"/>
      <c r="K191" s="123"/>
      <c r="N191" s="89">
        <f t="shared" si="10"/>
        <v>0</v>
      </c>
      <c r="O191" s="89">
        <f t="shared" si="11"/>
        <v>0</v>
      </c>
    </row>
    <row r="192" spans="1:15" customFormat="1" ht="25.5" customHeight="1" x14ac:dyDescent="0.25">
      <c r="A192" s="124" t="s">
        <v>507</v>
      </c>
      <c r="B192" s="612" t="s">
        <v>508</v>
      </c>
      <c r="C192" s="612"/>
      <c r="D192" s="612"/>
      <c r="E192" s="119" t="s">
        <v>509</v>
      </c>
      <c r="F192" s="128"/>
      <c r="G192" s="119" t="s">
        <v>45</v>
      </c>
      <c r="H192" s="119" t="str">
        <f>IF(AND(B4="E",Table_7_England!H11&gt;0,Table_9_UK!I17=0),"FAIL","PASS")</f>
        <v>PASS</v>
      </c>
      <c r="I192" s="84" t="str">
        <f>Table_9_UK!I17&amp;", "&amp;Table_7_England!H11</f>
        <v>19909, 0</v>
      </c>
      <c r="J192" s="85"/>
      <c r="K192" s="123"/>
      <c r="N192" s="89">
        <f t="shared" si="10"/>
        <v>0</v>
      </c>
      <c r="O192" s="89">
        <f t="shared" si="11"/>
        <v>0</v>
      </c>
    </row>
    <row r="193" spans="1:15" customFormat="1" ht="26.25" customHeight="1" x14ac:dyDescent="0.25">
      <c r="A193" s="124" t="s">
        <v>510</v>
      </c>
      <c r="B193" s="612" t="s">
        <v>511</v>
      </c>
      <c r="C193" s="612"/>
      <c r="D193" s="612"/>
      <c r="E193" s="119" t="s">
        <v>512</v>
      </c>
      <c r="F193" s="128"/>
      <c r="G193" s="119" t="s">
        <v>45</v>
      </c>
      <c r="H193" s="125" t="str">
        <f>IF(AND(B4="W",OR(Table_7_Wales!H12&gt;0,Table_7_Wales!H13&gt;0),Table_9_UK!I17=0),"FAIL","PASS")</f>
        <v>PASS</v>
      </c>
      <c r="I193" s="84" t="str">
        <f>Table_9_UK!I17&amp;", "&amp;Table_7_Wales!H12&amp;", "&amp;Table_7_Wales!H13</f>
        <v>19909, 0, 0</v>
      </c>
      <c r="J193" s="85"/>
      <c r="K193" s="123"/>
      <c r="N193" s="89">
        <f t="shared" si="10"/>
        <v>0</v>
      </c>
      <c r="O193" s="89">
        <f t="shared" si="11"/>
        <v>0</v>
      </c>
    </row>
    <row r="194" spans="1:15" customFormat="1" ht="27.75" customHeight="1" x14ac:dyDescent="0.25">
      <c r="A194" s="124" t="s">
        <v>513</v>
      </c>
      <c r="B194" s="612" t="s">
        <v>514</v>
      </c>
      <c r="C194" s="612"/>
      <c r="D194" s="612"/>
      <c r="E194" s="119" t="s">
        <v>515</v>
      </c>
      <c r="F194" s="128"/>
      <c r="G194" s="119" t="s">
        <v>45</v>
      </c>
      <c r="H194" s="125" t="str">
        <f>IF(AND(B4="S",Table_7_Scotland!H11,Table_9_UK!I17=0),"FAIL","PASS")</f>
        <v>PASS</v>
      </c>
      <c r="I194" s="84" t="str">
        <f>Table_9_UK!I17&amp;", "&amp;Table_7_Scotland!H11</f>
        <v>19909, 6175</v>
      </c>
      <c r="J194" s="85"/>
      <c r="K194" s="123"/>
      <c r="N194" s="89">
        <f t="shared" si="10"/>
        <v>0</v>
      </c>
      <c r="O194" s="89">
        <f t="shared" si="11"/>
        <v>0</v>
      </c>
    </row>
    <row r="195" spans="1:15" customFormat="1" ht="25.5" customHeight="1" x14ac:dyDescent="0.25">
      <c r="A195" s="124" t="s">
        <v>516</v>
      </c>
      <c r="B195" s="612" t="s">
        <v>517</v>
      </c>
      <c r="C195" s="612"/>
      <c r="D195" s="612"/>
      <c r="E195" s="119" t="s">
        <v>518</v>
      </c>
      <c r="F195" s="128"/>
      <c r="G195" s="119" t="s">
        <v>45</v>
      </c>
      <c r="H195" s="125" t="str">
        <f>IF(AND(B4="N",Table_7_N_Ireland!H9&gt;0,Table_9_UK!I17=0),"FAIL","PASS")</f>
        <v>PASS</v>
      </c>
      <c r="I195" s="84" t="str">
        <f>Table_9_UK!I17&amp;", "&amp;Table_7_N_Ireland!H9</f>
        <v>19909, 0</v>
      </c>
      <c r="J195" s="85"/>
      <c r="K195" s="123"/>
      <c r="N195" s="89">
        <f t="shared" si="10"/>
        <v>0</v>
      </c>
      <c r="O195" s="89">
        <f t="shared" si="11"/>
        <v>0</v>
      </c>
    </row>
    <row r="196" spans="1:15" customFormat="1" ht="30" customHeight="1" x14ac:dyDescent="0.25">
      <c r="A196" s="124" t="s">
        <v>519</v>
      </c>
      <c r="B196" s="612" t="s">
        <v>520</v>
      </c>
      <c r="C196" s="612"/>
      <c r="D196" s="612"/>
      <c r="E196" s="119" t="s">
        <v>521</v>
      </c>
      <c r="F196" s="128"/>
      <c r="G196" s="119" t="s">
        <v>45</v>
      </c>
      <c r="H196" s="125" t="str">
        <f>IF(AND(Table_4_UK!H50+Table_4_UK!H51&gt;0,Table_9_UK!L17=0),"FAIL","PASS")</f>
        <v>PASS</v>
      </c>
      <c r="I196" s="84" t="str">
        <f>Table_4_UK!H50&amp;", "&amp;Table_4_UK!H51</f>
        <v>1394, 0</v>
      </c>
      <c r="J196" s="85"/>
      <c r="K196" s="123"/>
      <c r="N196" s="89">
        <f t="shared" si="10"/>
        <v>0</v>
      </c>
      <c r="O196" s="89">
        <f t="shared" si="11"/>
        <v>0</v>
      </c>
    </row>
    <row r="197" spans="1:15" customFormat="1" ht="44.25" customHeight="1" x14ac:dyDescent="0.25">
      <c r="A197" s="124" t="s">
        <v>522</v>
      </c>
      <c r="B197" s="608" t="s">
        <v>523</v>
      </c>
      <c r="C197" s="608"/>
      <c r="D197" s="608"/>
      <c r="E197" s="609" t="s">
        <v>524</v>
      </c>
      <c r="F197" s="609"/>
      <c r="G197" s="119" t="s">
        <v>45</v>
      </c>
      <c r="H197" s="125" t="str">
        <f>IF(OR(AND(SUM(Table_10_UK!H6)&lt;&gt;0,ISBLANK(Table_10_UK!L6)),AND(SUM(Table_10_UK!H7)&lt;&gt;0,ISBLANK(Table_10_UK!L7)),AND(SUM(Table_10_UK!H8)&lt;&gt;0,ISBLANK(Table_10_UK!L8)),AND(SUM(Table_10_UK!H9)&lt;&gt;0,ISBLANK(Table_10_UK!L9)),AND(SUM(Table_10_UK!H10)&lt;&gt;0,ISBLANK(Table_10_UK!L10)),AND(SUM(Table_10_UK!H11)&lt;&gt;0,ISBLANK(Table_10_UK!L11)),AND(SUM(Table_10_UK!H15)&lt;&gt;0,ISBLANK(Table_10_UK!L15)),AND(SUM(Table_10_UK!H16)&lt;&gt;0,ISBLANK(Table_10_UK!L16)),AND(SUM(Table_10_UK!H17)&lt;&gt;0,ISBLANK(Table_10_UK!L17)),AND(SUM(Table_10_UK!H18)&lt;&gt;0,ISBLANK(Table_10_UK!L18)),AND(SUM(Table_10_UK!H19)&lt;&gt;0,ISBLANK(Table_10_UK!L19)),AND(SUM(Table_10_UK!H24)&lt;&gt;0,ISBLANK(Table_10_UK!L24)),AND(SUM(Table_10_UK!H25)&lt;&gt;0,ISBLANK(Table_10_UK!L25)),AND(SUM(Table_10_UK!H26)&lt;&gt;0,ISBLANK(Table_10_UK!L26)),AND(SUM(Table_10_UK!H27)&lt;&gt;0,ISBLANK(Table_10_UK!L27)),AND(SUM(Table_10_UK!H32)&lt;&gt;0,ISBLANK(Table_10_UK!L32)),AND(SUM(Table_10_UK!H33)&lt;&gt;0,ISBLANK(Table_10_UK!L33)),AND(SUM(Table_10_UK!H38)&lt;&gt;0,ISBLANK(Table_10_UK!L38)),AND(SUM(Table_10_UK!H39)&lt;&gt;0,ISBLANK(Table_10_UK!L39)),AND(SUM(Table_10_UK!H40)&lt;&gt;0,ISBLANK(Table_10_UK!L40)),AND(SUM(Table_10_UK!H41)&lt;&gt;0,ISBLANK(Table_10_UK!L41)),AND(SUM(Table_10_UK!H46)&lt;&gt;0,ISBLANK(Table_10_UK!L46)),AND(SUM(Table_10_UK!H47)&lt;&gt;0,ISBLANK(Table_10_UK!L47)),AND(SUM(Table_10_UK!H48)&lt;&gt;0,ISBLANK(Table_10_UK!L48)),AND(SUM(Table_10_UK!H49)&lt;&gt;0,ISBLANK(Table_10_UK!L49)),AND(SUM(Table_10_UK!H51)&lt;&gt;0,ISBLANK(Table_10_UK!L51)),AND(SUM(Table_10_UK!H55)&lt;&gt;0,ISBLANK(Table_10_UK!L55)),AND(SUM(Table_10_UK!H56)&lt;&gt;0,ISBLANK(Table_10_UK!L56))),"FAIL","PASS")</f>
        <v>PASS</v>
      </c>
      <c r="I197" s="84" t="str">
        <f>CONCATENATE(Table_10_UK!S6,Table_10_UK!S7,Table_10_UK!S8,Table_10_UK!S9,Table_10_UK!S10,Table_10_UK!S11,Table_10_UK!S15,Table_10_UK!S16,Table_10_UK!S17,Table_10_UK!S18,Table_10_UK!S19,Table_10_UK!S24,Table_10_UK!S25,Table_10_UK!S26,Table_10_UK!S27,Table_10_UK!S32,Table_10_UK!S33,Table_10_UK!S38,Table_10_UK!S39,Table_10_UK!S40,Table_10_UK!S41,Table_10_UK!S46,Table_10_UK!S47,Table_10_UK!S48,Table_10_UK!S49,Table_10_UK!S51,Table_10_UK!S55,Table_10_UK!S56)</f>
        <v/>
      </c>
      <c r="J197" s="85"/>
      <c r="K197" s="123"/>
      <c r="N197" s="89">
        <f t="shared" si="10"/>
        <v>0</v>
      </c>
      <c r="O197" s="89">
        <f t="shared" si="11"/>
        <v>0</v>
      </c>
    </row>
    <row r="198" spans="1:15" customFormat="1" ht="48" customHeight="1" x14ac:dyDescent="0.25">
      <c r="A198" s="124" t="s">
        <v>525</v>
      </c>
      <c r="B198" s="608" t="s">
        <v>526</v>
      </c>
      <c r="C198" s="608"/>
      <c r="D198" s="608"/>
      <c r="E198" s="609" t="s">
        <v>527</v>
      </c>
      <c r="F198" s="609"/>
      <c r="G198" s="119" t="s">
        <v>45</v>
      </c>
      <c r="H198" s="125" t="str">
        <f>IF(OR(AND(SUM(Table_10_UK!H6)=0,NOT(ISBLANK(Table_10_UK!L6))),AND(SUM(Table_10_UK!H7)=0,NOT(ISBLANK(Table_10_UK!L7))),AND(SUM(Table_10_UK!H8)=0,NOT(ISBLANK(Table_10_UK!L8))),AND(SUM(Table_10_UK!H9)=0,NOT(ISBLANK(Table_10_UK!L9))),AND(SUM(Table_10_UK!H10)=0,NOT(ISBLANK(Table_10_UK!L10))),AND(SUM(Table_10_UK!H11)=0,NOT(ISBLANK(Table_10_UK!L11))),AND(SUM(Table_10_UK!H15)=0,NOT(ISBLANK(Table_10_UK!L15))),AND(SUM(Table_10_UK!H16)=0,NOT(ISBLANK(Table_10_UK!L16))),AND(SUM(Table_10_UK!H17)=0,NOT(ISBLANK(Table_10_UK!L17))),AND(SUM(Table_10_UK!H18)=0,NOT(ISBLANK(Table_10_UK!L18))),AND(SUM(Table_10_UK!H19)=0,NOT(ISBLANK(Table_10_UK!L19))),AND(SUM(Table_10_UK!H24)=0,NOT(ISBLANK(Table_10_UK!L24))),AND(SUM(Table_10_UK!H25)=0,NOT(ISBLANK(Table_10_UK!L25))),AND(SUM(Table_10_UK!H26)=0,NOT(ISBLANK(Table_10_UK!L26))),AND(SUM(Table_10_UK!H27)=0,NOT(ISBLANK(Table_10_UK!L27))),AND(SUM(Table_10_UK!H32)=0,NOT(ISBLANK(Table_10_UK!L32))),AND(SUM(Table_10_UK!H33)=0,NOT(ISBLANK(Table_10_UK!L33))),AND(SUM(Table_10_UK!H38)=0,NOT(ISBLANK(Table_10_UK!L38))),AND(SUM(Table_10_UK!H39)=0,NOT(ISBLANK(Table_10_UK!L39))),AND(SUM(Table_10_UK!H40)=0,NOT(ISBLANK(Table_10_UK!L40))),AND(SUM(Table_10_UK!H41)=0,NOT(ISBLANK(Table_10_UK!L41))),AND(SUM(Table_10_UK!H46)=0,NOT(ISBLANK(Table_10_UK!L46))),AND(SUM(Table_10_UK!H47)=0,NOT(ISBLANK(Table_10_UK!L47))),AND(SUM(Table_10_UK!H48)=0,NOT(ISBLANK(Table_10_UK!L48))),AND(SUM(Table_10_UK!H49)=0,NOT(ISBLANK(Table_10_UK!L49))),AND(SUM(Table_10_UK!H51)=0,NOT(ISBLANK(Table_10_UK!L51))),AND(SUM(Table_10_UK!H55)=0,NOT(ISBLANK(Table_10_UK!L55))),AND(SUM(Table_10_UK!H56)=0,NOT(ISBLANK(Table_10_UK!L56)))), "FAIL","PASS")</f>
        <v>PASS</v>
      </c>
      <c r="I198" s="84" t="str">
        <f>CONCATENATE(Table_10_UK!V6,Table_10_UK!V7,Table_10_UK!V8,Table_10_UK!V9,Table_10_UK!V10,Table_10_UK!V11,Table_10_UK!V15,Table_10_UK!V16,Table_10_UK!V17,Table_10_UK!V18,Table_10_UK!V19,Table_10_UK!V24,Table_10_UK!V25,Table_10_UK!V26,Table_10_UK!V27,Table_10_UK!V32,Table_10_UK!V33,Table_10_UK!V38,Table_10_UK!V39,Table_10_UK!V40,Table_10_UK!V41,Table_10_UK!V46,Table_10_UK!V47,Table_10_UK!V48,Table_10_UK!V49,Table_10_UK!V51,Table_10_UK!V55,Table_10_UK!V56)</f>
        <v/>
      </c>
      <c r="J198" s="85"/>
      <c r="K198" s="123"/>
      <c r="N198" s="89">
        <f t="shared" si="10"/>
        <v>0</v>
      </c>
      <c r="O198" s="89">
        <f t="shared" si="11"/>
        <v>0</v>
      </c>
    </row>
    <row r="199" spans="1:15" customFormat="1" ht="54" customHeight="1" x14ac:dyDescent="0.25">
      <c r="A199" s="124" t="s">
        <v>528</v>
      </c>
      <c r="B199" s="608" t="s">
        <v>529</v>
      </c>
      <c r="C199" s="608"/>
      <c r="D199" s="608"/>
      <c r="E199" s="609" t="s">
        <v>530</v>
      </c>
      <c r="F199" s="609"/>
      <c r="G199" s="119" t="s">
        <v>45</v>
      </c>
      <c r="H199" s="125" t="str">
        <f>IF(OR(AND(SUM(Table_10_UK!I6)&lt;&gt;0,ISBLANK(Table_10_UK!M6)),AND(SUM(Table_10_UK!I7)&lt;&gt;0,ISBLANK(Table_10_UK!M7)),AND(SUM(Table_10_UK!I8)&lt;&gt;0,ISBLANK(Table_10_UK!M8)),AND(SUM(Table_10_UK!I9)&lt;&gt;0,ISBLANK(Table_10_UK!M9)),AND(SUM(Table_10_UK!I10)&lt;&gt;0,ISBLANK(Table_10_UK!M10)),AND(SUM(Table_10_UK!I11)&lt;&gt;0,ISBLANK(Table_10_UK!M11)),AND(SUM(Table_10_UK!I15)&lt;&gt;0,ISBLANK(Table_10_UK!M15)),AND(SUM(Table_10_UK!I16)&lt;&gt;0,ISBLANK(Table_10_UK!M16)),AND(SUM(Table_10_UK!I17)&lt;&gt;0,ISBLANK(Table_10_UK!M17)),AND(SUM(Table_10_UK!I18)&lt;&gt;0,ISBLANK(Table_10_UK!M18)),AND(SUM(Table_10_UK!I19)&lt;&gt;0,ISBLANK(Table_10_UK!M19)),AND(SUM(Table_10_UK!I24)&lt;&gt;0,ISBLANK(Table_10_UK!M24)),AND(SUM(Table_10_UK!I25)&lt;&gt;0,ISBLANK(Table_10_UK!M25)),AND(SUM(Table_10_UK!I26)&lt;&gt;0,ISBLANK(Table_10_UK!M26)),AND(SUM(Table_10_UK!I27)&lt;&gt;0,ISBLANK(Table_10_UK!M27)),AND(SUM(Table_10_UK!I32)&lt;&gt;0,ISBLANK(Table_10_UK!M32)),AND(SUM(Table_10_UK!I33)&lt;&gt;0,ISBLANK(Table_10_UK!M33)),AND(SUM(Table_10_UK!I38)&lt;&gt;0,ISBLANK(Table_10_UK!M38)),AND(SUM(Table_10_UK!I39)&lt;&gt;0,ISBLANK(Table_10_UK!M39)),AND(SUM(Table_10_UK!I40)&lt;&gt;0,ISBLANK(Table_10_UK!M40)),AND(SUM(Table_10_UK!I41)&lt;&gt;0,ISBLANK(Table_10_UK!M41)),AND(SUM(Table_10_UK!I46)&lt;&gt;0,ISBLANK(Table_10_UK!M46)),AND(SUM(Table_10_UK!I47)&lt;&gt;0,ISBLANK(Table_10_UK!M47)),AND(SUM(Table_10_UK!I48)&lt;&gt;0,ISBLANK(Table_10_UK!M48)),AND(SUM(Table_10_UK!I49)&lt;&gt;0,ISBLANK(Table_10_UK!M49)),AND(SUM(Table_10_UK!I51)&lt;&gt;0,ISBLANK(Table_10_UK!M51)),AND(SUM(Table_10_UK!I55)&lt;&gt;0,ISBLANK(Table_10_UK!M55)),AND(SUM(Table_10_UK!I56)&lt;&gt;0,ISBLANK(Table_10_UK!M56))),"FAIL","PASS")</f>
        <v>PASS</v>
      </c>
      <c r="I199" s="84" t="str">
        <f>CONCATENATE(Table_10_UK!Y6,Table_10_UK!Y7,Table_10_UK!Y8,Table_10_UK!Y9,Table_10_UK!Y10,Table_10_UK!Y11,Table_10_UK!Y15,Table_10_UK!Y16,Table_10_UK!Y17,Table_10_UK!Y18,Table_10_UK!Y19,Table_10_UK!Y24,Table_10_UK!Y25,Table_10_UK!Y26,Table_10_UK!Y27,Table_10_UK!Y32,Table_10_UK!Y33,Table_10_UK!Y38,Table_10_UK!Y39,Table_10_UK!Y40,Table_10_UK!Y41,Table_10_UK!Y46,Table_10_UK!Y47,Table_10_UK!Y48,Table_10_UK!Y49,Table_10_UK!Y51,Table_10_UK!Y55,Table_10_UK!Y56)</f>
        <v/>
      </c>
      <c r="J199" s="85"/>
      <c r="K199" s="123"/>
      <c r="N199" s="89">
        <f t="shared" si="10"/>
        <v>0</v>
      </c>
      <c r="O199" s="89">
        <f t="shared" si="11"/>
        <v>0</v>
      </c>
    </row>
    <row r="200" spans="1:15" customFormat="1" ht="53.25" customHeight="1" x14ac:dyDescent="0.25">
      <c r="A200" s="119" t="s">
        <v>531</v>
      </c>
      <c r="B200" s="608" t="s">
        <v>532</v>
      </c>
      <c r="C200" s="608"/>
      <c r="D200" s="608"/>
      <c r="E200" s="609" t="s">
        <v>533</v>
      </c>
      <c r="F200" s="609"/>
      <c r="G200" s="119" t="s">
        <v>45</v>
      </c>
      <c r="H200" s="125" t="str">
        <f>IF(OR(AND(SUM(Table_10_UK!I6)=0,NOT(ISBLANK(Table_10_UK!M6))),AND(SUM(Table_10_UK!I7)=0,NOT(ISBLANK(Table_10_UK!M7))),AND(SUM(Table_10_UK!I8)=0,NOT(ISBLANK(Table_10_UK!M8))),AND(SUM(Table_10_UK!I9)=0,NOT(ISBLANK(Table_10_UK!M9))),AND(SUM(Table_10_UK!I10)=0,NOT(ISBLANK(Table_10_UK!M10))),AND(SUM(Table_10_UK!I11)=0,NOT(ISBLANK(Table_10_UK!M11))),AND(SUM(Table_10_UK!I15)=0,NOT(ISBLANK(Table_10_UK!M15))),AND(SUM(Table_10_UK!I16)=0,NOT(ISBLANK(Table_10_UK!M16))),AND(SUM(Table_10_UK!I17)=0,NOT(ISBLANK(Table_10_UK!M17))),AND(SUM(Table_10_UK!I18)=0,NOT(ISBLANK(Table_10_UK!M18))),AND(SUM(Table_10_UK!I19)=0,NOT(ISBLANK(Table_10_UK!M19))),AND(SUM(Table_10_UK!I24)=0,NOT(ISBLANK(Table_10_UK!M24))),AND(SUM(Table_10_UK!I25)=0,NOT(ISBLANK(Table_10_UK!M25))),AND(SUM(Table_10_UK!I26)=0,NOT(ISBLANK(Table_10_UK!M26))),AND(SUM(Table_10_UK!I27)=0,NOT(ISBLANK(Table_10_UK!M27))),AND(SUM(Table_10_UK!I32)=0,NOT(ISBLANK(Table_10_UK!M32))),AND(SUM(Table_10_UK!I33)=0,NOT(ISBLANK(Table_10_UK!M33))),AND(SUM(Table_10_UK!I38)=0,NOT(ISBLANK(Table_10_UK!M38))),AND(SUM(Table_10_UK!I39)=0,NOT(ISBLANK(Table_10_UK!M39))),AND(SUM(Table_10_UK!I40)=0,NOT(ISBLANK(Table_10_UK!M40))),AND(SUM(Table_10_UK!I41)=0,NOT(ISBLANK(Table_10_UK!M41))),AND(SUM(Table_10_UK!I46)=0,NOT(ISBLANK(Table_10_UK!M46))),AND(SUM(Table_10_UK!I47)=0,NOT(ISBLANK(Table_10_UK!M47))),AND(SUM(Table_10_UK!I48)=0,NOT(ISBLANK(Table_10_UK!M48))),AND(SUM(Table_10_UK!I49)=0,NOT(ISBLANK(Table_10_UK!M49))),AND(SUM(Table_10_UK!I51)=0,NOT(ISBLANK(Table_10_UK!M51))),AND(SUM(Table_10_UK!I55)=0,NOT(ISBLANK(Table_10_UK!M55))),AND(SUM(Table_10_UK!I56)=0,NOT(ISBLANK(Table_10_UK!M56)))), "FAIL","PASS")</f>
        <v>PASS</v>
      </c>
      <c r="I200" s="84" t="str">
        <f>CONCATENATE(Table_10_UK!AB6,Table_10_UK!AB7,Table_10_UK!AB8,Table_10_UK!AB9,Table_10_UK!AB10,Table_10_UK!AB11,Table_10_UK!AB15,Table_10_UK!AB16,Table_10_UK!AB17,Table_10_UK!AB18,Table_10_UK!AB19,Table_10_UK!AB24,Table_10_UK!AB25,Table_10_UK!AB26,Table_10_UK!AB27,Table_10_UK!AB32,Table_10_UK!AB33,Table_10_UK!AB38,Table_10_UK!AB39,Table_10_UK!AB40,Table_10_UK!AB41,Table_10_UK!AB46,Table_10_UK!AB47,Table_10_UK!AB48,Table_10_UK!AB49,Table_10_UK!AB51,Table_10_UK!AB55,Table_10_UK!AB56)</f>
        <v/>
      </c>
      <c r="J200" s="85"/>
      <c r="K200" s="123"/>
      <c r="N200" s="89">
        <f t="shared" si="10"/>
        <v>0</v>
      </c>
      <c r="O200" s="89">
        <f t="shared" si="11"/>
        <v>0</v>
      </c>
    </row>
    <row r="201" spans="1:15" customFormat="1" ht="27" customHeight="1" x14ac:dyDescent="0.25">
      <c r="A201" s="119" t="s">
        <v>534</v>
      </c>
      <c r="B201" s="611" t="s">
        <v>535</v>
      </c>
      <c r="C201" s="611"/>
      <c r="D201" s="611"/>
      <c r="E201" s="610" t="s">
        <v>536</v>
      </c>
      <c r="F201" s="610"/>
      <c r="G201" s="119" t="s">
        <v>45</v>
      </c>
      <c r="H201" s="125" t="str">
        <f>IF(OR(AND(SUM(Table_11_UK!J33)&lt;&gt;0,(ISBLANK(Table_11_UK!J7))),AND(SUM(Table_11_UK!K33)&lt;&gt;0,(ISBLANK(Table_11_UK!J7))),AND(SUM(Table_11_UK!L33)&lt;&gt;0,(ISBLANK(Table_11_UK!L7))),AND(SUM(Table_11_UK!M33)&lt;&gt;0,(ISBLANK(Table_11_UK!L7))),AND(SUM(Table_11_UK!N33)&lt;&gt;0,(ISBLANK(Table_11_UK!N7))),AND(SUM(Table_11_UK!O33)&lt;&gt;0,(ISBLANK(Table_11_UK!N7))),AND(SUM(Table_11_UK!P33)&lt;&gt;0,(ISBLANK(Table_11_UK!P7))),AND(SUM(Table_11_UK!Q33)&lt;&gt;0,(ISBLANK(Table_11_UK!P7)))),"FAIL","PASS")</f>
        <v>PASS</v>
      </c>
      <c r="I201" s="84" t="str">
        <f>Table_11_UK!J33&amp;", "&amp;Table_11_UK!K33&amp;", "&amp;Table_11_UK!L33&amp;", "&amp;Table_11_UK!M33&amp;", "&amp;Table_11_UK!N33&amp;", "&amp;Table_11_UK!O33&amp;", "&amp;Table_11_UK!P33&amp;", "&amp;Table_11_UK!Q33</f>
        <v>204, 0, 179, 321, 0, 0, 0, 0</v>
      </c>
      <c r="J201" s="85"/>
      <c r="K201" s="123"/>
      <c r="N201" s="89">
        <f t="shared" si="10"/>
        <v>0</v>
      </c>
      <c r="O201" s="89">
        <f t="shared" si="11"/>
        <v>0</v>
      </c>
    </row>
    <row r="202" spans="1:15" customFormat="1" ht="33.4" customHeight="1" x14ac:dyDescent="0.25">
      <c r="A202" s="119" t="s">
        <v>537</v>
      </c>
      <c r="B202" s="611" t="s">
        <v>538</v>
      </c>
      <c r="C202" s="611"/>
      <c r="D202" s="611"/>
      <c r="E202" s="610" t="s">
        <v>539</v>
      </c>
      <c r="F202" s="610"/>
      <c r="G202" s="119" t="s">
        <v>45</v>
      </c>
      <c r="H202" s="125" t="str">
        <f>IF(OR(AND(SUM(Table_11_UK!L33)&lt;&gt;0,(ISBLANK(Table_11_UK!L8))),AND(SUM(Table_11_UK!M33)&lt;&gt;0,(ISBLANK(Table_11_UK!L8))),AND(SUM(Table_11_UK!N33)&lt;&gt;0,(ISBLANK(Table_11_UK!N8))),AND(SUM(Table_11_UK!O33)&lt;&gt;0,(ISBLANK(Table_11_UK!N8))),AND(SUM(Table_11_UK!P33)&lt;&gt;0,(ISBLANK(Table_11_UK!P8))),AND(SUM(Table_11_UK!Q33)&lt;&gt;0,(ISBLANK(Table_11_UK!P8)))),"FAIL","PASS")</f>
        <v>PASS</v>
      </c>
      <c r="I202" s="84" t="str">
        <f>Table_11_UK!L33&amp;", "&amp;Table_11_UK!M33&amp;", "&amp;Table_11_UK!N33&amp;", "&amp;Table_11_UK!O33&amp;", "&amp;Table_11_UK!P33&amp;", "&amp;Table_11_UK!Q33</f>
        <v>179, 321, 0, 0, 0, 0</v>
      </c>
      <c r="J202" s="85"/>
      <c r="K202" s="123"/>
      <c r="N202" s="89">
        <f t="shared" si="10"/>
        <v>0</v>
      </c>
      <c r="O202" s="89">
        <f t="shared" si="11"/>
        <v>0</v>
      </c>
    </row>
    <row r="203" spans="1:15" customFormat="1" ht="17.25" customHeight="1" x14ac:dyDescent="0.25">
      <c r="A203" s="119" t="s">
        <v>540</v>
      </c>
      <c r="B203" s="611" t="s">
        <v>541</v>
      </c>
      <c r="C203" s="611"/>
      <c r="D203" s="611"/>
      <c r="E203" s="610" t="s">
        <v>542</v>
      </c>
      <c r="F203" s="610"/>
      <c r="G203" s="119" t="s">
        <v>45</v>
      </c>
      <c r="H203" s="125" t="str">
        <f>IF(OR(Table_11_UK!J8&gt;=DATEVALUE("2018-07-31"),ISBLANK(Table_11_UK!J8)),"PASS","FAIL")</f>
        <v>PASS</v>
      </c>
      <c r="I203" s="84"/>
      <c r="J203" s="85"/>
      <c r="K203" s="123"/>
      <c r="N203" s="89">
        <f t="shared" si="10"/>
        <v>0</v>
      </c>
      <c r="O203" s="89">
        <f t="shared" si="11"/>
        <v>0</v>
      </c>
    </row>
    <row r="204" spans="1:15" customFormat="1" ht="17.25" customHeight="1" x14ac:dyDescent="0.25">
      <c r="A204" s="119" t="s">
        <v>543</v>
      </c>
      <c r="B204" s="611" t="s">
        <v>544</v>
      </c>
      <c r="C204" s="611"/>
      <c r="D204" s="611"/>
      <c r="E204" s="610" t="s">
        <v>545</v>
      </c>
      <c r="F204" s="610"/>
      <c r="G204" s="119" t="s">
        <v>45</v>
      </c>
      <c r="H204" s="125" t="str">
        <f>IF(Table_11_UK!J10&gt;0,"PASS","FAIL")</f>
        <v>PASS</v>
      </c>
      <c r="I204" s="126">
        <f>Table_11_UK!J10</f>
        <v>171</v>
      </c>
      <c r="J204" s="85"/>
      <c r="K204" s="123"/>
      <c r="N204" s="89">
        <f t="shared" si="10"/>
        <v>0</v>
      </c>
      <c r="O204" s="89">
        <f t="shared" si="11"/>
        <v>0</v>
      </c>
    </row>
    <row r="205" spans="1:15" customFormat="1" ht="17.25" customHeight="1" x14ac:dyDescent="0.25">
      <c r="A205" s="119" t="s">
        <v>546</v>
      </c>
      <c r="B205" s="611" t="s">
        <v>547</v>
      </c>
      <c r="C205" s="611"/>
      <c r="D205" s="611"/>
      <c r="E205" s="610" t="s">
        <v>548</v>
      </c>
      <c r="F205" s="610"/>
      <c r="G205" s="119" t="s">
        <v>45</v>
      </c>
      <c r="H205" s="125" t="str">
        <f>IF(AND(Table_11_UK!J7&gt;DATEVALUE("2017-07-31"),Table_11_UK!K33&lt;&gt;0),"FAIL",IF(AND(ISBLANK(Table_11_UK!J7),Table_11_UK!K33&lt;&gt;0),"FAIL",IF(AND(Table_11_UK!L7&gt;DATEVALUE("2017-07-31"),Table_11_UK!M33&lt;&gt;0),"FAIL",IF(AND(ISBLANK(Table_11_UK!L7),Table_11_UK!M33&lt;&gt;0),"FAIL",IF(AND(Table_11_UK!N7&gt;DATEVALUE("2017-07-31"),Table_11_UK!O33&lt;&gt;0),"FAIL",IF(AND(ISBLANK(Table_11_UK!N7),Table_11_UK!O33&lt;&gt;0),"FAIL",IF(AND(Table_11_UK!P7&gt;DATEVALUE("2017-07-31"),Table_11_UK!Q33&lt;&gt;0),"FAIL",IF(AND(ISBLANK(Table_11_UK!P7),Table_11_UK!Q33&lt;&gt;0),"FAIL","PASS"))))))))</f>
        <v>PASS</v>
      </c>
      <c r="I205" s="84" t="str">
        <f>Table_11_UK!K33&amp;", "&amp;Table_11_UK!M33&amp;", "&amp;Table_11_UK!O33&amp;", "&amp;Table_11_UK!Q33</f>
        <v>0, 321, 0, 0</v>
      </c>
      <c r="J205" s="85"/>
      <c r="K205" s="123"/>
      <c r="N205" s="89">
        <f t="shared" si="10"/>
        <v>0</v>
      </c>
      <c r="O205" s="89">
        <f t="shared" si="11"/>
        <v>0</v>
      </c>
    </row>
    <row r="206" spans="1:15" customFormat="1" ht="17.25" customHeight="1" x14ac:dyDescent="0.25">
      <c r="A206" s="119" t="s">
        <v>549</v>
      </c>
      <c r="B206" s="611" t="s">
        <v>550</v>
      </c>
      <c r="C206" s="611"/>
      <c r="D206" s="611"/>
      <c r="E206" s="610" t="s">
        <v>551</v>
      </c>
      <c r="F206" s="610"/>
      <c r="G206" s="119" t="s">
        <v>45</v>
      </c>
      <c r="H206" s="125" t="str">
        <f>IF(AND(Table_11_UK!L8&lt;=DATEVALUE("2017-07-31"),Table_11_UK!L33&lt;&gt;0),"FAIL",IF(AND(ISBLANK(Table_11_UK!L8),Table_11_UK!L33&lt;&gt;0),"FAIL",IF(AND(Table_11_UK!N8&lt;=DATEVALUE("2017-07-31"),Table_11_UK!N33&lt;&gt;0),"FAIL",IF(AND(ISBLANK(Table_11_UK!N8),Table_11_UK!N33&lt;&gt;0),"FAIL",IF(AND(Table_11_UK!P8&lt;=DATEVALUE("2017-07-31"),Table_11_UK!P33&lt;&gt;0),"FAIL",IF(AND(ISBLANK(Table_11_UK!P8),Table_11_UK!P33&lt;&gt;0),"FAIL","PASS"))))))</f>
        <v>PASS</v>
      </c>
      <c r="I206" s="84" t="str">
        <f>Table_11_UK!L33&amp;", "&amp;Table_11_UK!N33&amp;", "&amp;Table_11_UK!P33</f>
        <v>179, 0, 0</v>
      </c>
      <c r="J206" s="85"/>
      <c r="K206" s="123"/>
      <c r="N206" s="89">
        <f t="shared" si="10"/>
        <v>0</v>
      </c>
      <c r="O206" s="89">
        <f t="shared" si="11"/>
        <v>0</v>
      </c>
    </row>
    <row r="207" spans="1:15" customFormat="1" ht="32.65" customHeight="1" x14ac:dyDescent="0.25">
      <c r="A207" s="119" t="s">
        <v>552</v>
      </c>
      <c r="B207" s="611" t="s">
        <v>553</v>
      </c>
      <c r="C207" s="611"/>
      <c r="D207" s="611"/>
      <c r="E207" s="610" t="s">
        <v>554</v>
      </c>
      <c r="F207" s="610"/>
      <c r="G207" s="119" t="s">
        <v>45</v>
      </c>
      <c r="H207" s="125" t="str">
        <f>IF(AND(Table_11_UK!J36="YES",Table_11_UK!J21&lt;=0),"FAIL",IF(AND(Table_11_UK!K36="yes",Table_11_UK!K21&lt;=0),"FAIL",IF(AND(Table_11_UK!L36="yes",Table_11_UK!L21&lt;=0),"FAIL",IF(AND(Table_11_UK!M36="yes",Table_11_UK!M21&lt;=0),"FAIL",IF(AND(Table_11_UK!N36="yes",Table_11_UK!N21&lt;=0),"FAIL",IF(AND(Table_11_UK!O36="yes",Table_11_UK!O21&lt;=0),"FAIL",IF(AND(Table_11_UK!P36="yes",Table_11_UK!P21&lt;=0),"FAIL",IF(AND(Table_11_UK!Q36="yes",Table_11_UK!Q21&lt;=0),"FAIL","PASS"))))))))</f>
        <v>PASS</v>
      </c>
      <c r="I207" s="84" t="str">
        <f>Table_11_UK!J21&amp;", "&amp;Table_11_UK!K21&amp;", "&amp;Table_11_UK!L21&amp;", "&amp;Table_11_UK!M21&amp;", "&amp;Table_11_UK!N21&amp;", "&amp;Table_11_UK!O21&amp;", "&amp;Table_11_UK!P21&amp;", "&amp;Table_11_UK!Q21</f>
        <v>7, 0, 10, 8, 0, 0, 0, 0</v>
      </c>
      <c r="J207" s="85"/>
      <c r="K207" s="123"/>
      <c r="N207" s="89">
        <f t="shared" si="10"/>
        <v>0</v>
      </c>
      <c r="O207" s="89">
        <f t="shared" si="11"/>
        <v>0</v>
      </c>
    </row>
    <row r="208" spans="1:15" customFormat="1" ht="32.65" customHeight="1" x14ac:dyDescent="0.25">
      <c r="A208" s="119" t="s">
        <v>555</v>
      </c>
      <c r="B208" s="608" t="s">
        <v>556</v>
      </c>
      <c r="C208" s="608"/>
      <c r="D208" s="608"/>
      <c r="E208" s="610" t="s">
        <v>557</v>
      </c>
      <c r="F208" s="610"/>
      <c r="G208" s="119" t="s">
        <v>45</v>
      </c>
      <c r="H208" s="119" t="str">
        <f>IF(Table_11_UK!J43=0,"FAIL","PASS")</f>
        <v>PASS</v>
      </c>
      <c r="I208" s="84">
        <f>Table_11_UK!J43</f>
        <v>9.9</v>
      </c>
      <c r="J208" s="85"/>
      <c r="K208" s="123"/>
      <c r="N208" s="89">
        <f t="shared" si="10"/>
        <v>0</v>
      </c>
      <c r="O208" s="89">
        <f t="shared" si="11"/>
        <v>0</v>
      </c>
    </row>
    <row r="209" spans="1:15" customFormat="1" ht="32.65" customHeight="1" x14ac:dyDescent="0.25">
      <c r="A209" s="119" t="s">
        <v>558</v>
      </c>
      <c r="B209" s="608" t="s">
        <v>559</v>
      </c>
      <c r="C209" s="608"/>
      <c r="D209" s="608"/>
      <c r="E209" s="610" t="s">
        <v>560</v>
      </c>
      <c r="F209" s="610"/>
      <c r="G209" s="119" t="s">
        <v>45</v>
      </c>
      <c r="H209" s="119" t="str">
        <f>IF(Table_11_UK!J44=0,"FAIL","PASS")</f>
        <v>PASS</v>
      </c>
      <c r="I209" s="84">
        <f>Table_11_UK!J44</f>
        <v>11.3</v>
      </c>
      <c r="J209" s="85"/>
      <c r="K209" s="123"/>
      <c r="N209" s="89">
        <f t="shared" si="10"/>
        <v>0</v>
      </c>
      <c r="O209" s="89">
        <f t="shared" si="11"/>
        <v>0</v>
      </c>
    </row>
    <row r="210" spans="1:15" customFormat="1" ht="32.65" customHeight="1" x14ac:dyDescent="0.25">
      <c r="A210" s="119" t="s">
        <v>561</v>
      </c>
      <c r="B210" s="609" t="s">
        <v>562</v>
      </c>
      <c r="C210" s="609"/>
      <c r="D210" s="609"/>
      <c r="E210" s="610" t="s">
        <v>563</v>
      </c>
      <c r="F210" s="610"/>
      <c r="G210" s="119" t="s">
        <v>38</v>
      </c>
      <c r="H210" s="125" t="str">
        <f>IF(AND(SUM(Table_11_UK!R22:S22)&lt;&gt;0,ISBLANK(Table_11_UK!T22)),"FAIL","PASS")</f>
        <v>PASS</v>
      </c>
      <c r="I210" s="84" t="str">
        <f>Table_11_UK!R22&amp;","&amp;Table_11_UK!S22</f>
        <v>0,0</v>
      </c>
      <c r="J210" s="85"/>
      <c r="K210" s="123"/>
      <c r="N210" s="89">
        <f t="shared" si="10"/>
        <v>0</v>
      </c>
      <c r="O210" s="89">
        <f t="shared" si="11"/>
        <v>0</v>
      </c>
    </row>
    <row r="211" spans="1:15" customFormat="1" ht="32.65" customHeight="1" x14ac:dyDescent="0.25">
      <c r="A211" s="119" t="s">
        <v>564</v>
      </c>
      <c r="B211" s="609" t="s">
        <v>565</v>
      </c>
      <c r="C211" s="609"/>
      <c r="D211" s="609"/>
      <c r="E211" s="610" t="s">
        <v>566</v>
      </c>
      <c r="F211" s="610"/>
      <c r="G211" s="119" t="s">
        <v>38</v>
      </c>
      <c r="H211" s="125" t="str">
        <f>IF(AND(SUM(Table_11_UK!R27:S27)&lt;&gt;0,ISBLANK(Table_11_UK!T27)),"FAIL","PASS")</f>
        <v>PASS</v>
      </c>
      <c r="I211" s="84" t="str">
        <f>Table_11_UK!R27&amp;","&amp;Table_11_UK!S27</f>
        <v>0,0</v>
      </c>
      <c r="J211" s="85"/>
      <c r="K211" s="123"/>
      <c r="N211" s="89">
        <f t="shared" si="10"/>
        <v>0</v>
      </c>
      <c r="O211" s="89">
        <f t="shared" si="11"/>
        <v>0</v>
      </c>
    </row>
    <row r="212" spans="1:15" customFormat="1" ht="32.65" customHeight="1" x14ac:dyDescent="0.25">
      <c r="A212" s="119" t="s">
        <v>567</v>
      </c>
      <c r="B212" s="609" t="s">
        <v>568</v>
      </c>
      <c r="C212" s="609"/>
      <c r="D212" s="609"/>
      <c r="E212" s="610" t="s">
        <v>569</v>
      </c>
      <c r="F212" s="610"/>
      <c r="G212" s="119" t="s">
        <v>38</v>
      </c>
      <c r="H212" s="125" t="str">
        <f>IF(AND(SUM(Table_11_UK!R32:S32)&lt;&gt;0,ISBLANK(Table_11_UK!T32)),"FAIL","PASS")</f>
        <v>PASS</v>
      </c>
      <c r="I212" s="84" t="str">
        <f>Table_11_UK!R32&amp;","&amp;Table_11_UK!S32</f>
        <v>0,0</v>
      </c>
      <c r="J212" s="85"/>
      <c r="K212" s="123"/>
      <c r="N212" s="89">
        <f t="shared" si="10"/>
        <v>0</v>
      </c>
      <c r="O212" s="89">
        <f t="shared" si="11"/>
        <v>0</v>
      </c>
    </row>
    <row r="213" spans="1:15" customFormat="1" ht="32.65" customHeight="1" x14ac:dyDescent="0.25">
      <c r="A213" s="119" t="s">
        <v>570</v>
      </c>
      <c r="B213" s="608" t="s">
        <v>571</v>
      </c>
      <c r="C213" s="608"/>
      <c r="D213" s="608"/>
      <c r="E213" s="609" t="s">
        <v>572</v>
      </c>
      <c r="F213" s="609"/>
      <c r="G213" s="119" t="s">
        <v>45</v>
      </c>
      <c r="H213" s="125" t="str">
        <f>IF(Table_12_UK!E10&lt;&gt;Table_1_UK!H15,"FAIL","PASS")</f>
        <v>PASS</v>
      </c>
      <c r="I213" s="84" t="str">
        <f>Table_12_UK!E10&amp;","&amp;Table_1_UK!H15</f>
        <v>521373,521373</v>
      </c>
      <c r="J213" s="85"/>
      <c r="K213" s="123"/>
      <c r="N213" s="89">
        <f t="shared" si="10"/>
        <v>0</v>
      </c>
      <c r="O213" s="89">
        <f t="shared" si="11"/>
        <v>0</v>
      </c>
    </row>
    <row r="214" spans="1:15" customFormat="1" ht="32.65" customHeight="1" x14ac:dyDescent="0.25">
      <c r="A214" s="119" t="s">
        <v>573</v>
      </c>
      <c r="B214" s="608" t="s">
        <v>574</v>
      </c>
      <c r="C214" s="608"/>
      <c r="D214" s="608"/>
      <c r="E214" s="609" t="s">
        <v>575</v>
      </c>
      <c r="F214" s="609"/>
      <c r="G214" s="119" t="s">
        <v>45</v>
      </c>
      <c r="H214" s="125" t="str">
        <f>IF(Table_12_UK!F10&lt;&gt;Table_1_UK!I15,"FAIL","PASS")</f>
        <v>PASS</v>
      </c>
      <c r="I214" s="84" t="str">
        <f>Table_12_UK!F10&amp;","&amp;Table_1_UK!I15</f>
        <v>492564,492564</v>
      </c>
      <c r="J214" s="85"/>
      <c r="K214" s="123"/>
      <c r="N214" s="89">
        <f t="shared" si="10"/>
        <v>0</v>
      </c>
      <c r="O214" s="89">
        <f t="shared" si="11"/>
        <v>0</v>
      </c>
    </row>
    <row r="215" spans="1:15" customFormat="1" ht="32.65" customHeight="1" x14ac:dyDescent="0.25">
      <c r="A215" s="119" t="s">
        <v>576</v>
      </c>
      <c r="B215" s="608" t="s">
        <v>577</v>
      </c>
      <c r="C215" s="608"/>
      <c r="D215" s="608"/>
      <c r="E215" s="609" t="s">
        <v>578</v>
      </c>
      <c r="F215" s="609"/>
      <c r="G215" s="119" t="s">
        <v>45</v>
      </c>
      <c r="H215" s="139" t="str">
        <f>IF(AND(B4="E",OR(Table_12_UK!E16&lt;&gt;0,Table_12_UK!F16&lt;&gt;0)),"FAIL","PASS")</f>
        <v>PASS</v>
      </c>
      <c r="I215" s="84" t="str">
        <f>Table_12_UK!E16&amp;", "&amp;Table_12_UK!F16</f>
        <v>0, 0</v>
      </c>
      <c r="J215" s="85"/>
      <c r="K215" s="123"/>
      <c r="N215" s="89">
        <f t="shared" si="10"/>
        <v>0</v>
      </c>
      <c r="O215" s="89">
        <f t="shared" si="11"/>
        <v>0</v>
      </c>
    </row>
    <row r="216" spans="1:15" customFormat="1" ht="32.65" customHeight="1" x14ac:dyDescent="0.25">
      <c r="A216" s="119" t="s">
        <v>579</v>
      </c>
      <c r="B216" s="608" t="s">
        <v>580</v>
      </c>
      <c r="C216" s="608"/>
      <c r="D216" s="608"/>
      <c r="E216" s="609" t="s">
        <v>581</v>
      </c>
      <c r="F216" s="609"/>
      <c r="G216" s="119" t="s">
        <v>45</v>
      </c>
      <c r="H216" s="139" t="str">
        <f>IF(AND(B4="N",OR(Table_12_UK!G16&lt;&gt;0,Table_12_UK!H16&lt;&gt;0)),"FAIL","PASS")</f>
        <v>PASS</v>
      </c>
      <c r="I216" s="84" t="str">
        <f>Table_12_UK!G16&amp;", "&amp;Table_12_UK!H16</f>
        <v>0, 0</v>
      </c>
      <c r="J216" s="85"/>
      <c r="K216" s="123"/>
      <c r="N216" s="89">
        <f t="shared" si="10"/>
        <v>0</v>
      </c>
      <c r="O216" s="89">
        <f t="shared" si="11"/>
        <v>0</v>
      </c>
    </row>
    <row r="217" spans="1:15" customFormat="1" ht="32.65" customHeight="1" x14ac:dyDescent="0.25">
      <c r="A217" s="119" t="s">
        <v>582</v>
      </c>
      <c r="B217" s="608" t="s">
        <v>583</v>
      </c>
      <c r="C217" s="608"/>
      <c r="D217" s="608"/>
      <c r="E217" s="609" t="s">
        <v>581</v>
      </c>
      <c r="F217" s="609"/>
      <c r="G217" s="119" t="s">
        <v>45</v>
      </c>
      <c r="H217" s="139" t="str">
        <f>IF(AND(B4="W",OR(Table_12_UK!G16&lt;&gt;0,Table_12_UK!H16&lt;&gt;0)),"FAIL","PASS")</f>
        <v>PASS</v>
      </c>
      <c r="I217" s="84" t="str">
        <f>Table_12_UK!G16&amp;", "&amp;Table_12_UK!H16</f>
        <v>0, 0</v>
      </c>
      <c r="J217" s="85"/>
      <c r="K217" s="123"/>
      <c r="N217" s="89">
        <f t="shared" si="10"/>
        <v>0</v>
      </c>
      <c r="O217" s="89">
        <f t="shared" si="11"/>
        <v>0</v>
      </c>
    </row>
    <row r="218" spans="1:15" customFormat="1" ht="32.65" customHeight="1" x14ac:dyDescent="0.25">
      <c r="A218" s="119" t="s">
        <v>584</v>
      </c>
      <c r="B218" s="608" t="s">
        <v>585</v>
      </c>
      <c r="C218" s="608"/>
      <c r="D218" s="608"/>
      <c r="E218" s="609" t="s">
        <v>586</v>
      </c>
      <c r="F218" s="609"/>
      <c r="G218" s="119" t="s">
        <v>45</v>
      </c>
      <c r="H218" s="139" t="str">
        <f>IF(AND(B4="S",OR(Table_12_UK!E16&lt;&gt;0,Table_12_UK!F16&lt;&gt;0,Table_12_UK!G16&lt;&gt;0,Table_12_UK!H16&lt;&gt;0)),"FAIL","PASS")</f>
        <v>PASS</v>
      </c>
      <c r="I218" s="84" t="str">
        <f>Table_12_UK!E16&amp;", "&amp;Table_12_UK!F16&amp;", "&amp;Table_12_UK!G16&amp;", "&amp;Table_12_UK!H16</f>
        <v>0, 0, 0, 0</v>
      </c>
      <c r="J218" s="85"/>
      <c r="K218" s="123"/>
      <c r="N218" s="89">
        <f t="shared" ref="N218:N225" si="12">IF(AND(G218="Error",H218="FAIL"),1,0)</f>
        <v>0</v>
      </c>
      <c r="O218" s="89">
        <f t="shared" ref="O218:O225" si="13">IF(AND(G218="Warning",H218="FAIL"),1,0)</f>
        <v>0</v>
      </c>
    </row>
    <row r="219" spans="1:15" customFormat="1" ht="37.35" customHeight="1" x14ac:dyDescent="0.25">
      <c r="A219" s="119" t="s">
        <v>587</v>
      </c>
      <c r="B219" s="611" t="s">
        <v>588</v>
      </c>
      <c r="C219" s="611"/>
      <c r="D219" s="611"/>
      <c r="E219" s="610" t="s">
        <v>589</v>
      </c>
      <c r="F219" s="610"/>
      <c r="G219" s="119" t="s">
        <v>45</v>
      </c>
      <c r="H219" s="125" t="str">
        <f>IF(Table_13_UK!G6+Table_13_UK!G7+Table_13_UK!G10&lt;&gt;Table_11_UK!R16,"FAIL","PASS")</f>
        <v>PASS</v>
      </c>
      <c r="I219" s="84" t="str">
        <f>Table_13_UK!G6+Table_13_UK!G7+Table_13_UK!G10&amp;", "&amp;Table_11_UK!R16</f>
        <v>0, 0</v>
      </c>
      <c r="K219" s="72"/>
      <c r="N219" s="89">
        <f t="shared" si="12"/>
        <v>0</v>
      </c>
      <c r="O219" s="89">
        <f t="shared" si="13"/>
        <v>0</v>
      </c>
    </row>
    <row r="220" spans="1:15" customFormat="1" ht="36" customHeight="1" x14ac:dyDescent="0.25">
      <c r="A220" s="119" t="s">
        <v>590</v>
      </c>
      <c r="B220" s="608" t="s">
        <v>591</v>
      </c>
      <c r="C220" s="608"/>
      <c r="D220" s="608"/>
      <c r="E220" s="609" t="s">
        <v>592</v>
      </c>
      <c r="F220" s="609"/>
      <c r="G220" s="119" t="s">
        <v>45</v>
      </c>
      <c r="H220" s="125" t="str">
        <f>IF(Table_13_UK!H6+Table_13_UK!H7+Table_13_UK!H10&lt;&gt;Table_11_UK!S16,"FAIL","PASS")</f>
        <v>PASS</v>
      </c>
      <c r="I220" s="84" t="str">
        <f>Table_13_UK!H6+Table_13_UK!H7+Table_13_UK!H10&amp;", "&amp;Table_11_UK!S16</f>
        <v>0, 0</v>
      </c>
      <c r="K220" s="72"/>
      <c r="N220" s="89">
        <f t="shared" si="12"/>
        <v>0</v>
      </c>
      <c r="O220" s="89">
        <f t="shared" si="13"/>
        <v>0</v>
      </c>
    </row>
    <row r="221" spans="1:15" customFormat="1" ht="45.4" customHeight="1" x14ac:dyDescent="0.25">
      <c r="A221" s="119" t="s">
        <v>593</v>
      </c>
      <c r="B221" s="608" t="s">
        <v>594</v>
      </c>
      <c r="C221" s="608"/>
      <c r="D221" s="608"/>
      <c r="E221" s="609" t="s">
        <v>595</v>
      </c>
      <c r="F221" s="609"/>
      <c r="G221" s="119" t="s">
        <v>45</v>
      </c>
      <c r="H221" s="125" t="str">
        <f>IF(Table_13_UK!G6+Table_13_UK!H6+Table_13_UK!G7+Table_13_UK!H7+Table_13_UK!G8+Table_13_UK!H8+Table_13_UK!G10+Table_13_UK!H10+Table_13_UK!G14+Table_13_UK!H14+Table_13_UK!G15+Table_13_UK!H15+Table_13_UK!G17+Table_13_UK!H17+Table_13_UK!G18+Table_13_UK!H18+Table_13_UK!G22+Table_13_UK!H22+Table_13_UK!G23+Table_13_UK!H23+Table_13_UK!G25+Table_13_UK!H25+Table_13_UK!G26+Table_13_UK!H26&lt;=0,"FAIL","PASS")</f>
        <v>PASS</v>
      </c>
      <c r="I221" s="126">
        <f>SUM(Table_13_UK!G6+Table_13_UK!H6+Table_13_UK!G7+Table_13_UK!H7+Table_13_UK!G8+Table_13_UK!H8+Table_13_UK!G10+Table_13_UK!H10+Table_13_UK!G14+Table_13_UK!H14+Table_13_UK!G15+Table_13_UK!H15+Table_13_UK!G17+Table_13_UK!H17+Table_13_UK!G18+Table_13_UK!H18+Table_13_UK!G22+Table_13_UK!H22+Table_13_UK!G23+Table_13_UK!H23+Table_13_UK!G25+Table_13_UK!H25+Table_13_UK!G26+Table_13_UK!H26)</f>
        <v>379</v>
      </c>
      <c r="K221" s="140"/>
      <c r="N221" s="89">
        <f t="shared" si="12"/>
        <v>0</v>
      </c>
      <c r="O221" s="89">
        <f t="shared" si="13"/>
        <v>0</v>
      </c>
    </row>
    <row r="222" spans="1:15" customFormat="1" ht="17.100000000000001" customHeight="1" x14ac:dyDescent="0.25">
      <c r="A222" s="119" t="s">
        <v>596</v>
      </c>
      <c r="B222" s="608" t="s">
        <v>597</v>
      </c>
      <c r="C222" s="608"/>
      <c r="D222" s="608"/>
      <c r="E222" s="609" t="s">
        <v>598</v>
      </c>
      <c r="F222" s="609"/>
      <c r="G222" s="119" t="s">
        <v>45</v>
      </c>
      <c r="H222" s="125" t="str">
        <f>IF(Table_13_UK!G14+Table_13_UK!G22&lt;=0,"FAIL","PASS")</f>
        <v>PASS</v>
      </c>
      <c r="I222" s="84" t="str">
        <f>Table_13_UK!G14&amp;", "&amp;Table_13_UK!G22</f>
        <v>0, 168</v>
      </c>
      <c r="N222" s="89">
        <f t="shared" si="12"/>
        <v>0</v>
      </c>
      <c r="O222" s="89">
        <f t="shared" si="13"/>
        <v>0</v>
      </c>
    </row>
    <row r="223" spans="1:15" customFormat="1" ht="30.4" customHeight="1" x14ac:dyDescent="0.25">
      <c r="A223" s="119" t="s">
        <v>599</v>
      </c>
      <c r="B223" s="608" t="s">
        <v>600</v>
      </c>
      <c r="C223" s="608"/>
      <c r="D223" s="608"/>
      <c r="E223" s="609" t="s">
        <v>601</v>
      </c>
      <c r="F223" s="609"/>
      <c r="G223" s="119" t="s">
        <v>45</v>
      </c>
      <c r="H223" s="125" t="str">
        <f>IF(AND(B4="E",(Table_13_UK!G22+Table_13_UK!H22+Table_13_UK!G23+Table_13_UK!H23+Table_13_UK!G25+Table_13_UK!H25+Table_13_UK!G26+Table_13_UK!H26&lt;&gt;0)),"FAIL","PASS")</f>
        <v>PASS</v>
      </c>
      <c r="I223" s="84" t="str">
        <f>Table_13_UK!G22&amp;", "&amp;Table_13_UK!G23&amp;", "&amp;Table_13_UK!G25&amp;", "&amp;Table_13_UK!G26&amp;", "&amp;Table_13_UK!H22&amp;", "&amp;Table_13_UK!H23&amp;", "&amp;Table_13_UK!H25&amp;", "&amp;Table_13_UK!H26</f>
        <v>168, 1, 0, 0, 209, 1, 0, 0</v>
      </c>
      <c r="N223" s="89">
        <f t="shared" si="12"/>
        <v>0</v>
      </c>
      <c r="O223" s="89">
        <f t="shared" si="13"/>
        <v>0</v>
      </c>
    </row>
    <row r="224" spans="1:15" customFormat="1" ht="41.1" customHeight="1" x14ac:dyDescent="0.25">
      <c r="A224" s="119" t="s">
        <v>602</v>
      </c>
      <c r="B224" s="608" t="s">
        <v>603</v>
      </c>
      <c r="C224" s="608"/>
      <c r="D224" s="608"/>
      <c r="E224" s="609" t="s">
        <v>604</v>
      </c>
      <c r="F224" s="609"/>
      <c r="G224" s="119" t="s">
        <v>45</v>
      </c>
      <c r="H224" s="125" t="str">
        <f>IF(AND(B4&lt;&gt;"E",(Table_13_UK!G14+Table_13_UK!H14+Table_13_UK!G15+Table_13_UK!H15+Table_13_UK!G17+Table_13_UK!H17+Table_13_UK!G18+Table_13_UK!H18&lt;&gt;0)),"FAIL","PASS")</f>
        <v>PASS</v>
      </c>
      <c r="I224" s="84" t="str">
        <f>Table_13_UK!G14&amp;", "&amp;Table_13_UK!G15&amp;", "&amp;Table_13_UK!G17&amp;", "&amp;Table_13_UK!G18&amp;", "&amp;Table_13_UK!H14&amp;", "&amp;Table_13_UK!H15&amp;", "&amp;Table_13_UK!H17&amp;", "&amp;Table_13_UK!H18</f>
        <v>0, 0, 0, 0, 0, 0, 0, 0</v>
      </c>
      <c r="N224" s="89">
        <f t="shared" si="12"/>
        <v>0</v>
      </c>
      <c r="O224" s="89">
        <f t="shared" si="13"/>
        <v>0</v>
      </c>
    </row>
    <row r="225" spans="1:15" customFormat="1" ht="26.1" customHeight="1" x14ac:dyDescent="0.25">
      <c r="A225" s="119" t="s">
        <v>605</v>
      </c>
      <c r="B225" s="608" t="s">
        <v>606</v>
      </c>
      <c r="C225" s="608"/>
      <c r="D225" s="608"/>
      <c r="E225" s="609" t="s">
        <v>607</v>
      </c>
      <c r="F225" s="609"/>
      <c r="G225" s="119"/>
      <c r="H225" s="125" t="str">
        <f>IF(AND(Table_13_UK!G8&lt;&gt;0,OR(Table_13_UK!G9="Please type nature of the benefits here",ISBLANK(Table_13_UK!G9))),"FAIL","PASS")</f>
        <v>PASS</v>
      </c>
      <c r="I225" s="141">
        <f>Table_13_UK!G8</f>
        <v>0</v>
      </c>
      <c r="N225" s="89">
        <f t="shared" si="12"/>
        <v>0</v>
      </c>
      <c r="O225" s="89">
        <f t="shared" si="13"/>
        <v>0</v>
      </c>
    </row>
    <row r="226" spans="1:15" x14ac:dyDescent="0.2">
      <c r="H226" s="124"/>
    </row>
  </sheetData>
  <sheetProtection algorithmName="SHA-512" hashValue="ZDKtHd+Z5Dy9j0UkKFIU+SEDs73mYnwcQD5Svg4+sPu1456P2ZAzBaHeLJZ7bMiP9oys4SDtLmpFf5tu96rwSQ==" saltValue="JQsFeAhMeNLR8mI0JGmxYg==" spinCount="100000" sheet="1" objects="1" scenarios="1"/>
  <mergeCells count="210">
    <mergeCell ref="B224:D224"/>
    <mergeCell ref="E224:F224"/>
    <mergeCell ref="B225:D225"/>
    <mergeCell ref="E225:F225"/>
    <mergeCell ref="B220:D220"/>
    <mergeCell ref="E220:F220"/>
    <mergeCell ref="B221:D221"/>
    <mergeCell ref="E221:F221"/>
    <mergeCell ref="B199:D199"/>
    <mergeCell ref="B200:D200"/>
    <mergeCell ref="B219:D219"/>
    <mergeCell ref="E201:F201"/>
    <mergeCell ref="E202:F202"/>
    <mergeCell ref="E203:F203"/>
    <mergeCell ref="E204:F204"/>
    <mergeCell ref="E205:F205"/>
    <mergeCell ref="E206:F206"/>
    <mergeCell ref="E207:F207"/>
    <mergeCell ref="E219:F219"/>
    <mergeCell ref="B213:D213"/>
    <mergeCell ref="B222:D222"/>
    <mergeCell ref="E222:F222"/>
    <mergeCell ref="B223:D223"/>
    <mergeCell ref="E223:F223"/>
    <mergeCell ref="B168:D168"/>
    <mergeCell ref="B180:D180"/>
    <mergeCell ref="B181:D181"/>
    <mergeCell ref="B169:D169"/>
    <mergeCell ref="B120:D120"/>
    <mergeCell ref="E197:F197"/>
    <mergeCell ref="B123:D123"/>
    <mergeCell ref="B124:D124"/>
    <mergeCell ref="B177:D177"/>
    <mergeCell ref="B125:D125"/>
    <mergeCell ref="B134:D134"/>
    <mergeCell ref="B126:D126"/>
    <mergeCell ref="B127:D127"/>
    <mergeCell ref="B128:D128"/>
    <mergeCell ref="B121:D121"/>
    <mergeCell ref="B164:D164"/>
    <mergeCell ref="B151:D151"/>
    <mergeCell ref="B152:D152"/>
    <mergeCell ref="B153:D153"/>
    <mergeCell ref="B154:D154"/>
    <mergeCell ref="B155:D155"/>
    <mergeCell ref="B156:D156"/>
    <mergeCell ref="B157:D157"/>
    <mergeCell ref="B158:D158"/>
    <mergeCell ref="E213:F213"/>
    <mergeCell ref="B214:D214"/>
    <mergeCell ref="E214:F214"/>
    <mergeCell ref="B215:D215"/>
    <mergeCell ref="E189:F189"/>
    <mergeCell ref="B135:D135"/>
    <mergeCell ref="B136:D136"/>
    <mergeCell ref="B137:D137"/>
    <mergeCell ref="B138:D138"/>
    <mergeCell ref="B140:D140"/>
    <mergeCell ref="B139:D139"/>
    <mergeCell ref="B146:D146"/>
    <mergeCell ref="B144:D144"/>
    <mergeCell ref="B141:D141"/>
    <mergeCell ref="B142:D142"/>
    <mergeCell ref="B143:D143"/>
    <mergeCell ref="B145:D145"/>
    <mergeCell ref="B147:D147"/>
    <mergeCell ref="B148:D148"/>
    <mergeCell ref="B149:D149"/>
    <mergeCell ref="B150:D150"/>
    <mergeCell ref="B161:D161"/>
    <mergeCell ref="B162:D162"/>
    <mergeCell ref="B163:D163"/>
    <mergeCell ref="E91:F91"/>
    <mergeCell ref="E115:F115"/>
    <mergeCell ref="E116:F116"/>
    <mergeCell ref="E117:F117"/>
    <mergeCell ref="B104:D104"/>
    <mergeCell ref="B105:D105"/>
    <mergeCell ref="B106:D106"/>
    <mergeCell ref="B107:D107"/>
    <mergeCell ref="B108:D108"/>
    <mergeCell ref="B109:D109"/>
    <mergeCell ref="B111:D111"/>
    <mergeCell ref="B112:D112"/>
    <mergeCell ref="B113:D113"/>
    <mergeCell ref="B110:D110"/>
    <mergeCell ref="B98:D98"/>
    <mergeCell ref="E92:F92"/>
    <mergeCell ref="B100:D100"/>
    <mergeCell ref="B96:D96"/>
    <mergeCell ref="B97:D97"/>
    <mergeCell ref="E61:F61"/>
    <mergeCell ref="E89:F89"/>
    <mergeCell ref="E88:F88"/>
    <mergeCell ref="B88:D88"/>
    <mergeCell ref="E62:F62"/>
    <mergeCell ref="B122:D122"/>
    <mergeCell ref="E118:F118"/>
    <mergeCell ref="B86:D86"/>
    <mergeCell ref="B87:D87"/>
    <mergeCell ref="B118:D118"/>
    <mergeCell ref="B119:D119"/>
    <mergeCell ref="B69:D69"/>
    <mergeCell ref="B70:D70"/>
    <mergeCell ref="B71:D71"/>
    <mergeCell ref="B72:D72"/>
    <mergeCell ref="B74:D74"/>
    <mergeCell ref="B101:D101"/>
    <mergeCell ref="E95:F95"/>
    <mergeCell ref="E93:F93"/>
    <mergeCell ref="B94:D94"/>
    <mergeCell ref="E94:F94"/>
    <mergeCell ref="B102:D102"/>
    <mergeCell ref="B103:D103"/>
    <mergeCell ref="E90:F90"/>
    <mergeCell ref="B37:D37"/>
    <mergeCell ref="B131:D131"/>
    <mergeCell ref="B132:D132"/>
    <mergeCell ref="B133:D133"/>
    <mergeCell ref="B38:D38"/>
    <mergeCell ref="B39:D39"/>
    <mergeCell ref="B40:D40"/>
    <mergeCell ref="B41:D41"/>
    <mergeCell ref="A6:B6"/>
    <mergeCell ref="B85:D85"/>
    <mergeCell ref="B75:D75"/>
    <mergeCell ref="B77:D77"/>
    <mergeCell ref="B78:D78"/>
    <mergeCell ref="B81:D81"/>
    <mergeCell ref="B82:D82"/>
    <mergeCell ref="B76:D76"/>
    <mergeCell ref="B79:D79"/>
    <mergeCell ref="B80:D80"/>
    <mergeCell ref="B83:D83"/>
    <mergeCell ref="B36:D36"/>
    <mergeCell ref="B130:D130"/>
    <mergeCell ref="B129:D129"/>
    <mergeCell ref="B99:D99"/>
    <mergeCell ref="B42:D42"/>
    <mergeCell ref="B64:D64"/>
    <mergeCell ref="B63:D63"/>
    <mergeCell ref="B50:D50"/>
    <mergeCell ref="B49:D49"/>
    <mergeCell ref="B84:D84"/>
    <mergeCell ref="B114:D114"/>
    <mergeCell ref="B91:D91"/>
    <mergeCell ref="B90:D90"/>
    <mergeCell ref="B89:D89"/>
    <mergeCell ref="B73:D73"/>
    <mergeCell ref="B92:D92"/>
    <mergeCell ref="B95:D95"/>
    <mergeCell ref="B93:D93"/>
    <mergeCell ref="B159:D159"/>
    <mergeCell ref="B160:D160"/>
    <mergeCell ref="B197:D197"/>
    <mergeCell ref="B198:D198"/>
    <mergeCell ref="B186:D186"/>
    <mergeCell ref="B187:D187"/>
    <mergeCell ref="B188:D188"/>
    <mergeCell ref="B190:D190"/>
    <mergeCell ref="B191:D191"/>
    <mergeCell ref="B166:D166"/>
    <mergeCell ref="B182:D182"/>
    <mergeCell ref="B183:D183"/>
    <mergeCell ref="B184:D184"/>
    <mergeCell ref="B185:D185"/>
    <mergeCell ref="B193:D193"/>
    <mergeCell ref="B192:D192"/>
    <mergeCell ref="B189:D189"/>
    <mergeCell ref="B196:D196"/>
    <mergeCell ref="B174:D174"/>
    <mergeCell ref="B175:D175"/>
    <mergeCell ref="B170:D170"/>
    <mergeCell ref="B194:D194"/>
    <mergeCell ref="B195:D195"/>
    <mergeCell ref="B179:D179"/>
    <mergeCell ref="B178:D178"/>
    <mergeCell ref="B216:D216"/>
    <mergeCell ref="E215:F215"/>
    <mergeCell ref="E216:F216"/>
    <mergeCell ref="B217:D217"/>
    <mergeCell ref="E217:F217"/>
    <mergeCell ref="B218:D218"/>
    <mergeCell ref="E218:F218"/>
    <mergeCell ref="B165:D165"/>
    <mergeCell ref="B171:D171"/>
    <mergeCell ref="B172:D172"/>
    <mergeCell ref="B173:D173"/>
    <mergeCell ref="B176:D176"/>
    <mergeCell ref="B201:D201"/>
    <mergeCell ref="B202:D202"/>
    <mergeCell ref="B203:D203"/>
    <mergeCell ref="B204:D204"/>
    <mergeCell ref="B205:D205"/>
    <mergeCell ref="B206:D206"/>
    <mergeCell ref="B207:D207"/>
    <mergeCell ref="E198:F198"/>
    <mergeCell ref="E199:F199"/>
    <mergeCell ref="E200:F200"/>
    <mergeCell ref="B167:D167"/>
    <mergeCell ref="B208:D208"/>
    <mergeCell ref="B209:D209"/>
    <mergeCell ref="B210:D210"/>
    <mergeCell ref="B211:D211"/>
    <mergeCell ref="B212:D212"/>
    <mergeCell ref="E208:F208"/>
    <mergeCell ref="E209:F209"/>
    <mergeCell ref="E210:F210"/>
    <mergeCell ref="E211:F211"/>
    <mergeCell ref="E212:F212"/>
  </mergeCells>
  <conditionalFormatting sqref="D2:D3">
    <cfRule type="expression" dxfId="241" priority="1">
      <formula>ISERROR($D$2)</formula>
    </cfRule>
  </conditionalFormatting>
  <conditionalFormatting sqref="H25:H207">
    <cfRule type="containsText" dxfId="240" priority="2" operator="containsText" text="FAIL">
      <formula>NOT(ISERROR(SEARCH("FAIL",H25)))</formula>
    </cfRule>
  </conditionalFormatting>
  <conditionalFormatting sqref="H213:H225">
    <cfRule type="containsText" dxfId="239" priority="3" operator="containsText" text="FAIL">
      <formula>NOT(ISERROR(SEARCH("FAIL",H213)))</formula>
    </cfRule>
  </conditionalFormatting>
  <conditionalFormatting sqref="M59">
    <cfRule type="containsText" dxfId="238" priority="4" operator="containsText" text="FAIL">
      <formula>NOT(ISERROR(SEARCH("FAIL",M59)))</formula>
    </cfRule>
  </conditionalFormatting>
  <conditionalFormatting sqref="H173:H175">
    <cfRule type="containsText" dxfId="237" priority="5" operator="containsText" text="FAIL">
      <formula>NOT(ISERROR(SEARCH("FAIL",H173)))</formula>
    </cfRule>
  </conditionalFormatting>
  <conditionalFormatting sqref="H182">
    <cfRule type="containsText" dxfId="236" priority="6" operator="containsText" text="FAIL">
      <formula>NOT(ISERROR(SEARCH("FAIL",H182)))</formula>
    </cfRule>
  </conditionalFormatting>
  <conditionalFormatting sqref="H38:H40">
    <cfRule type="containsText" dxfId="235" priority="7" operator="containsText" text="FAIL">
      <formula>NOT(ISERROR(SEARCH("FAIL",H38)))</formula>
    </cfRule>
  </conditionalFormatting>
  <conditionalFormatting sqref="H176">
    <cfRule type="containsText" dxfId="234" priority="8" operator="containsText" text="FAIL">
      <formula>NOT(ISERROR(SEARCH("FAIL",H176)))</formula>
    </cfRule>
  </conditionalFormatting>
  <conditionalFormatting sqref="H177">
    <cfRule type="containsText" dxfId="233" priority="9" operator="containsText" text="FAIL">
      <formula>NOT(ISERROR(SEARCH("FAIL",H177)))</formula>
    </cfRule>
  </conditionalFormatting>
  <conditionalFormatting sqref="H178:H179">
    <cfRule type="containsText" dxfId="232" priority="10" operator="containsText" text="FAIL">
      <formula>NOT(ISERROR(SEARCH("FAIL",H178)))</formula>
    </cfRule>
  </conditionalFormatting>
  <conditionalFormatting sqref="H180">
    <cfRule type="containsText" dxfId="231" priority="11" operator="containsText" text="FAIL">
      <formula>NOT(ISERROR(SEARCH("FAIL",H180)))</formula>
    </cfRule>
  </conditionalFormatting>
  <conditionalFormatting sqref="H181">
    <cfRule type="containsText" dxfId="230" priority="12" operator="containsText" text="FAIL">
      <formula>NOT(ISERROR(SEARCH("FAIL",H181)))</formula>
    </cfRule>
  </conditionalFormatting>
  <conditionalFormatting sqref="H89:H90">
    <cfRule type="containsText" dxfId="229" priority="13" operator="containsText" text="FAIL">
      <formula>NOT(ISERROR(SEARCH("FAIL",H89)))</formula>
    </cfRule>
  </conditionalFormatting>
  <conditionalFormatting sqref="H55:H56">
    <cfRule type="containsText" dxfId="228" priority="14" operator="containsText" text="FAIL">
      <formula>NOT(ISERROR(SEARCH("FAIL",H55)))</formula>
    </cfRule>
  </conditionalFormatting>
  <conditionalFormatting sqref="H201">
    <cfRule type="containsText" dxfId="227" priority="15" operator="containsText" text="FAIL">
      <formula>NOT(ISERROR(SEARCH("FAIL",H201)))</formula>
    </cfRule>
  </conditionalFormatting>
  <conditionalFormatting sqref="H202">
    <cfRule type="containsText" dxfId="226" priority="16" operator="containsText" text="FAIL">
      <formula>NOT(ISERROR(SEARCH("FAIL",H202)))</formula>
    </cfRule>
  </conditionalFormatting>
  <conditionalFormatting sqref="H203:H207">
    <cfRule type="containsText" dxfId="225" priority="17" operator="containsText" text="FAIL">
      <formula>NOT(ISERROR(SEARCH("FAIL",H203)))</formula>
    </cfRule>
  </conditionalFormatting>
  <conditionalFormatting sqref="H219">
    <cfRule type="containsText" dxfId="224" priority="18" operator="containsText" text="FAIL">
      <formula>NOT(ISERROR(SEARCH("FAIL",H219)))</formula>
    </cfRule>
  </conditionalFormatting>
  <conditionalFormatting sqref="H213">
    <cfRule type="containsText" dxfId="223" priority="19" operator="containsText" text="FAIL">
      <formula>NOT(ISERROR(SEARCH("FAIL",H213)))</formula>
    </cfRule>
  </conditionalFormatting>
  <conditionalFormatting sqref="H220">
    <cfRule type="containsText" dxfId="222" priority="20" operator="containsText" text="FAIL">
      <formula>NOT(ISERROR(SEARCH("FAIL",H220)))</formula>
    </cfRule>
  </conditionalFormatting>
  <conditionalFormatting sqref="H221:H224">
    <cfRule type="containsText" dxfId="221" priority="21" operator="containsText" text="FAIL">
      <formula>NOT(ISERROR(SEARCH("FAIL",H221)))</formula>
    </cfRule>
  </conditionalFormatting>
  <conditionalFormatting sqref="H226">
    <cfRule type="containsText" dxfId="220" priority="22" operator="containsText" text="FAIL">
      <formula>NOT(ISERROR(SEARCH("FAIL",H226)))</formula>
    </cfRule>
  </conditionalFormatting>
  <conditionalFormatting sqref="H225">
    <cfRule type="containsText" dxfId="219" priority="23" operator="containsText" text="FAIL">
      <formula>NOT(ISERROR(SEARCH("FAIL",H225)))</formula>
    </cfRule>
  </conditionalFormatting>
  <conditionalFormatting sqref="H214:H216">
    <cfRule type="containsText" dxfId="218" priority="24" operator="containsText" text="FAIL">
      <formula>NOT(ISERROR(SEARCH("FAIL",H214)))</formula>
    </cfRule>
  </conditionalFormatting>
  <conditionalFormatting sqref="H91:H95">
    <cfRule type="containsText" dxfId="217" priority="25" operator="containsText" text="FAIL">
      <formula>NOT(ISERROR(SEARCH("FAIL",H91)))</formula>
    </cfRule>
  </conditionalFormatting>
  <conditionalFormatting sqref="H217">
    <cfRule type="containsText" dxfId="216" priority="26" operator="containsText" text="FAIL">
      <formula>NOT(ISERROR(SEARCH("FAIL",H217)))</formula>
    </cfRule>
  </conditionalFormatting>
  <conditionalFormatting sqref="H218">
    <cfRule type="containsText" dxfId="215" priority="27" operator="containsText" text="FAIL">
      <formula>NOT(ISERROR(SEARCH("FAIL",H218)))</formula>
    </cfRule>
  </conditionalFormatting>
  <conditionalFormatting sqref="H208">
    <cfRule type="containsText" dxfId="214" priority="28" operator="containsText" text="FAIL">
      <formula>NOT(ISERROR(SEARCH("FAIL",H208)))</formula>
    </cfRule>
    <cfRule type="containsText" dxfId="213" priority="28" operator="containsText" text="FAIL">
      <formula>NOT(ISERROR(SEARCH("FAIL",H208)))</formula>
    </cfRule>
  </conditionalFormatting>
  <conditionalFormatting sqref="H209">
    <cfRule type="containsText" dxfId="212" priority="29" operator="containsText" text="FAIL">
      <formula>NOT(ISERROR(SEARCH("FAIL",H209)))</formula>
    </cfRule>
    <cfRule type="containsText" dxfId="211" priority="29" operator="containsText" text="FAIL">
      <formula>NOT(ISERROR(SEARCH("FAIL",H209)))</formula>
    </cfRule>
  </conditionalFormatting>
  <conditionalFormatting sqref="H210">
    <cfRule type="containsText" dxfId="210" priority="30" operator="containsText" text="FAIL">
      <formula>NOT(ISERROR(SEARCH("FAIL",H210)))</formula>
    </cfRule>
  </conditionalFormatting>
  <conditionalFormatting sqref="H211:H212">
    <cfRule type="containsText" dxfId="209" priority="31" operator="containsText" text="FAIL">
      <formula>NOT(ISERROR(SEARCH("FAIL",H211)))</formula>
    </cfRule>
  </conditionalFormatting>
  <hyperlinks>
    <hyperlink ref="A14" r:id="rId1"/>
    <hyperlink ref="A18" r:id="rId2"/>
  </hyperlinks>
  <printOptions headings="1" gridLines="1"/>
  <pageMargins left="0.15748031496062992" right="0.15748031496062992" top="0.39370078740157483" bottom="0.39370078740157483" header="0.11811023622047245" footer="0.11811023622047245"/>
  <pageSetup paperSize="9" scale="44" orientation="landscape" r:id="rId3"/>
  <headerFooter alignWithMargins="0">
    <oddHeader>&amp;R&amp;D</oddHeader>
    <oddFooter xml:space="preserve">&amp;RPage &amp;P of &amp;N, &amp;A </oddFooter>
  </headerFooter>
  <ignoredErrors>
    <ignoredError sqref="H63:H64"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workbookViewId="0">
      <selection activeCell="H23" sqref="H23"/>
    </sheetView>
  </sheetViews>
  <sheetFormatPr defaultColWidth="9.28515625" defaultRowHeight="15" x14ac:dyDescent="0.25"/>
  <cols>
    <col min="1" max="1" width="9.28515625" style="44" customWidth="1"/>
    <col min="2" max="2" width="1.85546875" style="44" customWidth="1"/>
    <col min="3" max="3" width="2.7109375" style="44" customWidth="1"/>
    <col min="4" max="4" width="33" style="44" customWidth="1"/>
    <col min="5" max="5" width="9.28515625" style="44" customWidth="1"/>
    <col min="6" max="6" width="73.7109375" style="44" customWidth="1"/>
    <col min="7" max="7" width="17.85546875" style="44" customWidth="1"/>
    <col min="8" max="8" width="16.28515625" style="44" customWidth="1"/>
    <col min="9" max="9" width="9.28515625" style="44" customWidth="1"/>
    <col min="10" max="16384" width="9.28515625" style="44"/>
  </cols>
  <sheetData>
    <row r="1" spans="1:8" customFormat="1" ht="30.95" customHeight="1" x14ac:dyDescent="0.25">
      <c r="A1" s="539" t="s">
        <v>1486</v>
      </c>
      <c r="B1" s="540"/>
      <c r="C1" s="540"/>
      <c r="D1" s="540"/>
      <c r="E1" s="540"/>
      <c r="F1" s="540"/>
      <c r="G1" s="486"/>
      <c r="H1" s="541"/>
    </row>
    <row r="2" spans="1:8" customFormat="1" ht="15.4" customHeight="1" x14ac:dyDescent="0.25">
      <c r="A2" s="542"/>
      <c r="B2" s="148"/>
      <c r="C2" s="148"/>
      <c r="D2" s="148"/>
      <c r="E2" s="148"/>
      <c r="F2" s="148"/>
      <c r="G2" s="489"/>
      <c r="H2" s="543"/>
    </row>
    <row r="3" spans="1:8" customFormat="1" ht="30.95" customHeight="1" x14ac:dyDescent="0.25">
      <c r="A3" s="544"/>
      <c r="B3" s="152"/>
      <c r="C3" s="152"/>
      <c r="D3" s="152"/>
      <c r="E3" s="152"/>
      <c r="F3" s="153"/>
      <c r="G3" s="545" t="s">
        <v>1329</v>
      </c>
      <c r="H3" s="155" t="s">
        <v>1330</v>
      </c>
    </row>
    <row r="4" spans="1:8" customFormat="1" ht="15.4" customHeight="1" x14ac:dyDescent="0.25">
      <c r="A4" s="546"/>
      <c r="B4" s="158"/>
      <c r="C4" s="158"/>
      <c r="D4" s="158"/>
      <c r="E4" s="158"/>
      <c r="F4" s="159"/>
      <c r="G4" s="160" t="s">
        <v>616</v>
      </c>
      <c r="H4" s="155" t="s">
        <v>616</v>
      </c>
    </row>
    <row r="5" spans="1:8" x14ac:dyDescent="0.25">
      <c r="A5" s="162">
        <v>1</v>
      </c>
      <c r="B5" s="682" t="s">
        <v>1487</v>
      </c>
      <c r="C5" s="683"/>
      <c r="D5" s="683"/>
      <c r="E5" s="683"/>
      <c r="F5" s="684"/>
      <c r="G5" s="166"/>
      <c r="H5" s="166"/>
    </row>
    <row r="6" spans="1:8" x14ac:dyDescent="0.25">
      <c r="A6" s="162" t="s">
        <v>621</v>
      </c>
      <c r="B6" s="184"/>
      <c r="C6" s="678" t="s">
        <v>1488</v>
      </c>
      <c r="D6" s="678"/>
      <c r="E6" s="678"/>
      <c r="F6" s="679"/>
      <c r="G6" s="173">
        <v>0</v>
      </c>
      <c r="H6" s="173">
        <v>0</v>
      </c>
    </row>
    <row r="7" spans="1:8" x14ac:dyDescent="0.25">
      <c r="A7" s="162" t="s">
        <v>623</v>
      </c>
      <c r="B7" s="184"/>
      <c r="C7" s="678" t="s">
        <v>1489</v>
      </c>
      <c r="D7" s="678"/>
      <c r="E7" s="678"/>
      <c r="F7" s="679"/>
      <c r="G7" s="173">
        <v>0</v>
      </c>
      <c r="H7" s="173">
        <v>0</v>
      </c>
    </row>
    <row r="8" spans="1:8" x14ac:dyDescent="0.25">
      <c r="A8" s="162" t="s">
        <v>625</v>
      </c>
      <c r="B8" s="184"/>
      <c r="C8" s="678" t="s">
        <v>1490</v>
      </c>
      <c r="D8" s="678"/>
      <c r="E8" s="678"/>
      <c r="F8" s="679"/>
      <c r="G8" s="173">
        <v>0</v>
      </c>
      <c r="H8" s="173">
        <v>0</v>
      </c>
    </row>
    <row r="9" spans="1:8" customFormat="1" ht="14.65" customHeight="1" x14ac:dyDescent="0.25">
      <c r="A9" s="162" t="s">
        <v>627</v>
      </c>
      <c r="B9" s="184"/>
      <c r="C9" s="678" t="s">
        <v>1491</v>
      </c>
      <c r="D9" s="678"/>
      <c r="E9" s="678"/>
      <c r="F9" s="679"/>
      <c r="G9" s="681" t="s">
        <v>1492</v>
      </c>
      <c r="H9" s="669"/>
    </row>
    <row r="10" spans="1:8" x14ac:dyDescent="0.25">
      <c r="A10" s="162" t="s">
        <v>629</v>
      </c>
      <c r="B10" s="184"/>
      <c r="C10" s="678" t="s">
        <v>1493</v>
      </c>
      <c r="D10" s="678"/>
      <c r="E10" s="678"/>
      <c r="F10" s="679"/>
      <c r="G10" s="173">
        <v>0</v>
      </c>
      <c r="H10" s="173">
        <v>0</v>
      </c>
    </row>
    <row r="11" spans="1:8" x14ac:dyDescent="0.25">
      <c r="A11" s="162"/>
      <c r="B11" s="179"/>
      <c r="C11" s="680"/>
      <c r="D11" s="680"/>
      <c r="E11" s="171"/>
      <c r="F11" s="172"/>
      <c r="G11" s="569"/>
      <c r="H11" s="569"/>
    </row>
    <row r="12" spans="1:8" x14ac:dyDescent="0.25">
      <c r="A12" s="162">
        <v>2</v>
      </c>
      <c r="B12" s="163" t="s">
        <v>1494</v>
      </c>
      <c r="C12" s="504"/>
      <c r="D12" s="164"/>
      <c r="E12" s="164"/>
      <c r="F12" s="165"/>
      <c r="G12" s="187"/>
      <c r="H12" s="187"/>
    </row>
    <row r="13" spans="1:8" x14ac:dyDescent="0.25">
      <c r="A13" s="162" t="s">
        <v>636</v>
      </c>
      <c r="B13" s="184"/>
      <c r="C13" s="678" t="s">
        <v>1495</v>
      </c>
      <c r="D13" s="678"/>
      <c r="E13" s="678"/>
      <c r="F13" s="679"/>
      <c r="G13" s="569"/>
      <c r="H13" s="569"/>
    </row>
    <row r="14" spans="1:8" x14ac:dyDescent="0.25">
      <c r="A14" s="162" t="s">
        <v>996</v>
      </c>
      <c r="B14" s="281"/>
      <c r="C14" s="170"/>
      <c r="D14" s="678" t="s">
        <v>1496</v>
      </c>
      <c r="E14" s="678"/>
      <c r="F14" s="679"/>
      <c r="G14" s="173">
        <v>0</v>
      </c>
      <c r="H14" s="173">
        <v>0</v>
      </c>
    </row>
    <row r="15" spans="1:8" x14ac:dyDescent="0.25">
      <c r="A15" s="162" t="s">
        <v>998</v>
      </c>
      <c r="B15" s="281"/>
      <c r="C15" s="170"/>
      <c r="D15" s="678" t="s">
        <v>1497</v>
      </c>
      <c r="E15" s="678"/>
      <c r="F15" s="679"/>
      <c r="G15" s="173">
        <v>0</v>
      </c>
      <c r="H15" s="173">
        <v>0</v>
      </c>
    </row>
    <row r="16" spans="1:8" x14ac:dyDescent="0.25">
      <c r="A16" s="162" t="s">
        <v>638</v>
      </c>
      <c r="B16" s="184"/>
      <c r="C16" s="678" t="s">
        <v>1498</v>
      </c>
      <c r="D16" s="678"/>
      <c r="E16" s="678"/>
      <c r="F16" s="679"/>
      <c r="G16" s="569"/>
      <c r="H16" s="569"/>
    </row>
    <row r="17" spans="1:8" x14ac:dyDescent="0.25">
      <c r="A17" s="162" t="s">
        <v>996</v>
      </c>
      <c r="B17" s="170"/>
      <c r="C17" s="170"/>
      <c r="D17" s="678" t="s">
        <v>1496</v>
      </c>
      <c r="E17" s="678"/>
      <c r="F17" s="679"/>
      <c r="G17" s="173">
        <v>0</v>
      </c>
      <c r="H17" s="173">
        <v>0</v>
      </c>
    </row>
    <row r="18" spans="1:8" x14ac:dyDescent="0.25">
      <c r="A18" s="162" t="s">
        <v>998</v>
      </c>
      <c r="B18" s="179"/>
      <c r="C18" s="179"/>
      <c r="D18" s="678" t="s">
        <v>1497</v>
      </c>
      <c r="E18" s="678"/>
      <c r="F18" s="679"/>
      <c r="G18" s="173">
        <v>0</v>
      </c>
      <c r="H18" s="173">
        <v>0</v>
      </c>
    </row>
    <row r="19" spans="1:8" x14ac:dyDescent="0.25">
      <c r="A19" s="162"/>
      <c r="B19" s="184"/>
      <c r="C19" s="680"/>
      <c r="D19" s="680"/>
      <c r="E19" s="171"/>
      <c r="F19" s="172"/>
      <c r="G19" s="569"/>
      <c r="H19" s="569"/>
    </row>
    <row r="20" spans="1:8" x14ac:dyDescent="0.25">
      <c r="A20" s="162">
        <v>3</v>
      </c>
      <c r="B20" s="570" t="s">
        <v>1499</v>
      </c>
      <c r="C20" s="504"/>
      <c r="D20" s="164"/>
      <c r="E20" s="164"/>
      <c r="F20" s="165"/>
      <c r="G20" s="166"/>
      <c r="H20" s="166"/>
    </row>
    <row r="21" spans="1:8" x14ac:dyDescent="0.25">
      <c r="A21" s="162" t="s">
        <v>736</v>
      </c>
      <c r="B21" s="184"/>
      <c r="C21" s="678" t="s">
        <v>1495</v>
      </c>
      <c r="D21" s="678"/>
      <c r="E21" s="678"/>
      <c r="F21" s="679"/>
      <c r="G21" s="178"/>
      <c r="H21" s="178"/>
    </row>
    <row r="22" spans="1:8" x14ac:dyDescent="0.25">
      <c r="A22" s="162" t="s">
        <v>996</v>
      </c>
      <c r="B22" s="281"/>
      <c r="C22" s="170"/>
      <c r="D22" s="678" t="s">
        <v>1496</v>
      </c>
      <c r="E22" s="678"/>
      <c r="F22" s="679"/>
      <c r="G22" s="173">
        <v>168</v>
      </c>
      <c r="H22" s="173">
        <v>209</v>
      </c>
    </row>
    <row r="23" spans="1:8" x14ac:dyDescent="0.25">
      <c r="A23" s="162" t="s">
        <v>998</v>
      </c>
      <c r="B23" s="281"/>
      <c r="C23" s="170"/>
      <c r="D23" s="678" t="s">
        <v>1497</v>
      </c>
      <c r="E23" s="678"/>
      <c r="F23" s="679"/>
      <c r="G23" s="173">
        <v>1</v>
      </c>
      <c r="H23" s="173">
        <v>1</v>
      </c>
    </row>
    <row r="24" spans="1:8" x14ac:dyDescent="0.25">
      <c r="A24" s="162" t="s">
        <v>738</v>
      </c>
      <c r="B24" s="184"/>
      <c r="C24" s="678" t="s">
        <v>1498</v>
      </c>
      <c r="D24" s="678"/>
      <c r="E24" s="678"/>
      <c r="F24" s="679"/>
      <c r="G24" s="571"/>
      <c r="H24" s="571"/>
    </row>
    <row r="25" spans="1:8" x14ac:dyDescent="0.25">
      <c r="A25" s="162" t="s">
        <v>996</v>
      </c>
      <c r="B25" s="170"/>
      <c r="C25" s="170"/>
      <c r="D25" s="678" t="s">
        <v>1496</v>
      </c>
      <c r="E25" s="678"/>
      <c r="F25" s="679"/>
      <c r="G25" s="173">
        <v>0</v>
      </c>
      <c r="H25" s="173">
        <v>0</v>
      </c>
    </row>
    <row r="26" spans="1:8" x14ac:dyDescent="0.25">
      <c r="A26" s="162" t="s">
        <v>998</v>
      </c>
      <c r="B26" s="179"/>
      <c r="C26" s="179"/>
      <c r="D26" s="678" t="s">
        <v>1497</v>
      </c>
      <c r="E26" s="678"/>
      <c r="F26" s="679"/>
      <c r="G26" s="173">
        <v>0</v>
      </c>
      <c r="H26" s="173">
        <v>0</v>
      </c>
    </row>
  </sheetData>
  <sheetProtection algorithmName="SHA-512" hashValue="xeKh+MizQHNkE8YGL250Sr8W27eq7MRaxGPdFAEL8e43CgJibshppKFRmjSKnCLNSyZgs1LUFpmP2Hi1lTsWvA==" saltValue="u3irf4S0WYQAK28XTP8LrQ==" spinCount="100000" sheet="1" objects="1" scenarios="1"/>
  <mergeCells count="21">
    <mergeCell ref="C8:F8"/>
    <mergeCell ref="C9:F9"/>
    <mergeCell ref="C10:F10"/>
    <mergeCell ref="C13:F13"/>
    <mergeCell ref="B5:F5"/>
    <mergeCell ref="C6:F6"/>
    <mergeCell ref="C7:F7"/>
    <mergeCell ref="D25:F25"/>
    <mergeCell ref="D26:F26"/>
    <mergeCell ref="C19:D19"/>
    <mergeCell ref="G9:H9"/>
    <mergeCell ref="C11:D11"/>
    <mergeCell ref="C16:F16"/>
    <mergeCell ref="D14:F14"/>
    <mergeCell ref="D15:F15"/>
    <mergeCell ref="D17:F17"/>
    <mergeCell ref="D18:F18"/>
    <mergeCell ref="C21:F21"/>
    <mergeCell ref="C24:F24"/>
    <mergeCell ref="D22:F22"/>
    <mergeCell ref="D23:F23"/>
  </mergeCells>
  <dataValidations count="10">
    <dataValidation type="whole" operator="greaterThan" allowBlank="1" showInputMessage="1" showErrorMessage="1" errorTitle="Whole numbers allowed only" error="All monies should be independently rounded to the nearest £1,000." sqref="G6:H8">
      <formula1>-99999999</formula1>
    </dataValidation>
    <dataValidation type="whole" operator="greaterThan" allowBlank="1" showInputMessage="1" showErrorMessage="1" errorTitle="Whole numbers allowed only" error="All monies should be independently rounded to the nearest £1,000." sqref="G10:H10">
      <formula1>-99999999</formula1>
    </dataValidation>
    <dataValidation type="whole" operator="greaterThan" allowBlank="1" showInputMessage="1" showErrorMessage="1" errorTitle="Whole numbers allowed only" error="All monies should be independently rounded to the nearest £1,000." sqref="G14:H14">
      <formula1>-99999999</formula1>
    </dataValidation>
    <dataValidation type="whole" operator="greaterThan" allowBlank="1" showInputMessage="1" showErrorMessage="1" errorTitle="Whole numbers allowed only" error="All monies should be independently rounded to the nearest £1,000." sqref="G17:H17">
      <formula1>-99999999</formula1>
    </dataValidation>
    <dataValidation type="whole" operator="greaterThan" allowBlank="1" showInputMessage="1" showErrorMessage="1" errorTitle="Whole numbers allowed only" error="All monies should be independently rounded to the nearest £1,000." sqref="G22:H22">
      <formula1>-99999999</formula1>
    </dataValidation>
    <dataValidation type="whole" operator="greaterThan" allowBlank="1" showInputMessage="1" showErrorMessage="1" errorTitle="Whole numbers allowed only" error="All monies should be independently rounded to the nearest £1,000." sqref="G25:H25">
      <formula1>-99999999</formula1>
    </dataValidation>
    <dataValidation type="whole" operator="greaterThanOrEqual" allowBlank="1" showInputMessage="1" showErrorMessage="1" errorTitle="Whole numbers only" error="Whole numbers only." sqref="G18:H18">
      <formula1>0</formula1>
    </dataValidation>
    <dataValidation type="whole" operator="greaterThanOrEqual" allowBlank="1" showInputMessage="1" showErrorMessage="1" errorTitle="Whole numbers only" error="Whole numbers only." sqref="G15:H15">
      <formula1>0</formula1>
    </dataValidation>
    <dataValidation type="whole" operator="greaterThanOrEqual" allowBlank="1" showInputMessage="1" showErrorMessage="1" errorTitle="Whole numbers only" error="Whole numbers only." sqref="G23:H23">
      <formula1>0</formula1>
    </dataValidation>
    <dataValidation type="whole" operator="greaterThanOrEqual" allowBlank="1" showInputMessage="1" showErrorMessage="1" errorTitle="Whole numbers only" error="Whole numbers only." sqref="G26:H26">
      <formula1>0</formula1>
    </dataValidation>
  </dataValidations>
  <printOptions headings="1"/>
  <pageMargins left="0.31496062992125984" right="0.31496062992125984" top="0.74803149606299213" bottom="0.74803149606299213" header="0.31496062992125984" footer="0.31496062992125984"/>
  <pageSetup paperSize="9" scale="3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19"/>
  <sheetViews>
    <sheetView workbookViewId="0"/>
  </sheetViews>
  <sheetFormatPr defaultColWidth="9.140625" defaultRowHeight="15" x14ac:dyDescent="0.25"/>
  <cols>
    <col min="1" max="1" width="9.140625" style="44" customWidth="1"/>
    <col min="2" max="2" width="36.5703125" style="44" customWidth="1"/>
    <col min="3" max="3" width="9.85546875" style="44" customWidth="1"/>
    <col min="4" max="4" width="82.85546875" style="44" customWidth="1"/>
    <col min="5" max="5" width="19.28515625" style="44" hidden="1" customWidth="1"/>
    <col min="6" max="6" width="18.28515625" style="44" hidden="1" customWidth="1"/>
    <col min="7" max="7" width="9.85546875" style="44" hidden="1" customWidth="1"/>
    <col min="8" max="8" width="11.85546875" style="44" hidden="1" customWidth="1"/>
    <col min="9" max="9" width="18" style="44" customWidth="1"/>
    <col min="10" max="10" width="9.140625" style="44" customWidth="1"/>
    <col min="11" max="16384" width="9.140625" style="44"/>
  </cols>
  <sheetData>
    <row r="1" spans="1:9" customFormat="1" ht="15.4" customHeight="1" x14ac:dyDescent="0.25">
      <c r="A1" s="572" t="s">
        <v>1500</v>
      </c>
      <c r="B1" s="572"/>
      <c r="C1" s="573"/>
      <c r="D1" s="573"/>
      <c r="E1" s="572"/>
      <c r="F1" s="573"/>
      <c r="G1" s="573"/>
      <c r="H1" s="573"/>
      <c r="I1" s="574"/>
    </row>
    <row r="2" spans="1:9" customFormat="1" ht="15.95" customHeight="1" thickBot="1" x14ac:dyDescent="0.3">
      <c r="A2" s="572"/>
      <c r="B2" s="575"/>
      <c r="C2" s="575"/>
      <c r="D2" s="573"/>
      <c r="E2" s="689" t="s">
        <v>1158</v>
      </c>
      <c r="F2" s="690"/>
      <c r="G2" s="690"/>
      <c r="H2" s="690"/>
      <c r="I2" s="576" t="s">
        <v>616</v>
      </c>
    </row>
    <row r="3" spans="1:9" x14ac:dyDescent="0.25">
      <c r="A3" s="577"/>
      <c r="B3" s="578"/>
      <c r="C3" s="579"/>
      <c r="D3" s="579"/>
      <c r="E3" s="580"/>
      <c r="F3" s="580"/>
      <c r="G3" s="580"/>
      <c r="H3" s="580"/>
      <c r="I3" s="581"/>
    </row>
    <row r="4" spans="1:9" ht="25.5" x14ac:dyDescent="0.25">
      <c r="A4" s="582" t="s">
        <v>1501</v>
      </c>
      <c r="B4" s="691" t="s">
        <v>1502</v>
      </c>
      <c r="C4" s="692"/>
      <c r="D4" s="584" t="s">
        <v>1503</v>
      </c>
      <c r="E4" s="585" t="s">
        <v>1504</v>
      </c>
      <c r="F4" s="585" t="s">
        <v>1505</v>
      </c>
      <c r="G4" s="583" t="s">
        <v>1506</v>
      </c>
      <c r="H4" s="583" t="s">
        <v>1507</v>
      </c>
      <c r="I4" s="586" t="s">
        <v>617</v>
      </c>
    </row>
    <row r="5" spans="1:9" x14ac:dyDescent="0.25">
      <c r="A5" s="587">
        <v>1</v>
      </c>
      <c r="B5" s="693" t="s">
        <v>1508</v>
      </c>
      <c r="C5" s="694"/>
      <c r="D5" s="588" t="s">
        <v>1509</v>
      </c>
      <c r="E5" s="589">
        <v>1</v>
      </c>
      <c r="F5" s="590">
        <v>0</v>
      </c>
      <c r="G5" s="591">
        <f>Table_1_UK!H22</f>
        <v>27449</v>
      </c>
      <c r="H5" s="591">
        <f>Table_1_UK!H12</f>
        <v>984437</v>
      </c>
      <c r="I5" s="592">
        <f>ROUND(IF(H5=0,0,(100*G5)/H5),2)</f>
        <v>2.79</v>
      </c>
    </row>
    <row r="6" spans="1:9" x14ac:dyDescent="0.25">
      <c r="A6" s="593">
        <v>2</v>
      </c>
      <c r="B6" s="685" t="s">
        <v>1510</v>
      </c>
      <c r="C6" s="686"/>
      <c r="D6" s="594" t="s">
        <v>1511</v>
      </c>
      <c r="E6" s="589">
        <v>2</v>
      </c>
      <c r="F6" s="595">
        <v>0</v>
      </c>
      <c r="G6" s="596">
        <f>Table_1_UK!H15</f>
        <v>521373</v>
      </c>
      <c r="H6" s="596">
        <f>Table_1_UK!H12</f>
        <v>984437</v>
      </c>
      <c r="I6" s="592">
        <f>ROUND(IF(H6=0,0,(100*G6)/H6),2)</f>
        <v>52.96</v>
      </c>
    </row>
    <row r="7" spans="1:9" x14ac:dyDescent="0.25">
      <c r="A7" s="593">
        <v>3</v>
      </c>
      <c r="B7" s="687" t="s">
        <v>1512</v>
      </c>
      <c r="C7" s="695"/>
      <c r="D7" s="597" t="s">
        <v>1513</v>
      </c>
      <c r="E7" s="589">
        <v>3</v>
      </c>
      <c r="F7" s="595">
        <v>0</v>
      </c>
      <c r="G7" s="596">
        <f>Table_8_UK!L67</f>
        <v>44948</v>
      </c>
      <c r="H7" s="596">
        <f>Table_1_UK!H20</f>
        <v>956988</v>
      </c>
      <c r="I7" s="592">
        <f>ROUND(IF(H7=0,0,(100*G7)/H7),2)</f>
        <v>4.7</v>
      </c>
    </row>
    <row r="8" spans="1:9" x14ac:dyDescent="0.25">
      <c r="A8" s="593">
        <v>4</v>
      </c>
      <c r="B8" s="685" t="s">
        <v>1514</v>
      </c>
      <c r="C8" s="686"/>
      <c r="D8" s="594" t="s">
        <v>1515</v>
      </c>
      <c r="E8" s="589">
        <v>4</v>
      </c>
      <c r="F8" s="595">
        <v>0</v>
      </c>
      <c r="G8" s="596">
        <f>Table_3_UK!H57+Table_3_UK!H58</f>
        <v>1735893</v>
      </c>
      <c r="H8" s="596">
        <f>Table_1_UK!H12</f>
        <v>984437</v>
      </c>
      <c r="I8" s="592">
        <f>ROUND(IF(H8=0,0,(100*G8)/H8),2)</f>
        <v>176.33</v>
      </c>
    </row>
    <row r="9" spans="1:9" customFormat="1" ht="28.35" customHeight="1" x14ac:dyDescent="0.25">
      <c r="A9" s="593">
        <v>5</v>
      </c>
      <c r="B9" s="685" t="s">
        <v>1516</v>
      </c>
      <c r="C9" s="686"/>
      <c r="D9" s="594" t="s">
        <v>1517</v>
      </c>
      <c r="E9" s="598">
        <v>5</v>
      </c>
      <c r="F9" s="599">
        <v>0</v>
      </c>
      <c r="G9" s="596">
        <f>Table_3_UK!H26+Table_3_UK!H27+Table_3_UK!H28+Table_3_UK!H29+Table_3_UK!H40+Table_3_UK!H41+Table_3_UK!H42</f>
        <v>389803</v>
      </c>
      <c r="H9" s="600">
        <f>Table_1_UK!H12</f>
        <v>984437</v>
      </c>
      <c r="I9" s="592">
        <f>ROUND(IF(H9=0,0,(100*G9)/H9),2)</f>
        <v>39.6</v>
      </c>
    </row>
    <row r="10" spans="1:9" x14ac:dyDescent="0.25">
      <c r="A10" s="593">
        <v>6</v>
      </c>
      <c r="B10" s="687" t="s">
        <v>1518</v>
      </c>
      <c r="C10" s="688"/>
      <c r="D10" s="601" t="s">
        <v>1519</v>
      </c>
      <c r="E10" s="598">
        <v>6</v>
      </c>
      <c r="F10" s="599">
        <v>0</v>
      </c>
      <c r="G10" s="600">
        <f>Table_3_UK!H51</f>
        <v>2216900</v>
      </c>
      <c r="H10" s="600">
        <f>Table_1_UK!H20</f>
        <v>956988</v>
      </c>
      <c r="I10" s="592">
        <f>ROUND(IF(H10=0,0,(365*G10)/H10),1)</f>
        <v>845.5</v>
      </c>
    </row>
    <row r="11" spans="1:9" x14ac:dyDescent="0.25">
      <c r="A11" s="593">
        <v>7</v>
      </c>
      <c r="B11" s="687" t="s">
        <v>1520</v>
      </c>
      <c r="C11" s="688"/>
      <c r="D11" s="602" t="s">
        <v>1521</v>
      </c>
      <c r="E11" s="598">
        <v>7</v>
      </c>
      <c r="F11" s="599">
        <v>0</v>
      </c>
      <c r="G11" s="600">
        <f>Table_3_UK!H23</f>
        <v>552451</v>
      </c>
      <c r="H11" s="600">
        <f>Table_3_UK!H31</f>
        <v>310936</v>
      </c>
      <c r="I11" s="603">
        <f>ROUND(IF(H11=0,0,G11/H11),2)</f>
        <v>1.78</v>
      </c>
    </row>
    <row r="12" spans="1:9" customFormat="1" ht="32.25" customHeight="1" x14ac:dyDescent="0.25">
      <c r="A12" s="593">
        <v>8</v>
      </c>
      <c r="B12" s="685" t="s">
        <v>1522</v>
      </c>
      <c r="C12" s="686"/>
      <c r="D12" s="594" t="s">
        <v>1523</v>
      </c>
      <c r="E12" s="598">
        <v>8</v>
      </c>
      <c r="F12" s="599">
        <v>0</v>
      </c>
      <c r="G12" s="600">
        <f>Table_4_UK!H31</f>
        <v>55211</v>
      </c>
      <c r="H12" s="600">
        <f>Table_1_UK!H12</f>
        <v>984437</v>
      </c>
      <c r="I12" s="592">
        <f>ROUND(IF(H12=0,0,(100*G12)/H12),2)</f>
        <v>5.61</v>
      </c>
    </row>
    <row r="13" spans="1:9" customFormat="1" ht="28.9" customHeight="1" thickBot="1" x14ac:dyDescent="0.3">
      <c r="A13" s="593">
        <v>9</v>
      </c>
      <c r="B13" s="685" t="s">
        <v>1524</v>
      </c>
      <c r="C13" s="686"/>
      <c r="D13" s="594" t="s">
        <v>1525</v>
      </c>
      <c r="E13" s="598">
        <v>9</v>
      </c>
      <c r="F13" s="599">
        <v>0</v>
      </c>
      <c r="G13" s="600">
        <f>Table_3_UK!H20+Table_3_UK!H21-Table_3_UK!H26</f>
        <v>416081</v>
      </c>
      <c r="H13" s="600">
        <f>Table_1_UK!H20-Table_1_UK!H18</f>
        <v>896791</v>
      </c>
      <c r="I13" s="592">
        <f>ROUND(IF(H13=0,0,(365*G13)/H13),2)</f>
        <v>169.35</v>
      </c>
    </row>
    <row r="14" spans="1:9" x14ac:dyDescent="0.25">
      <c r="A14" s="604"/>
      <c r="B14" s="604"/>
      <c r="C14" s="604"/>
      <c r="D14" s="605"/>
      <c r="E14" s="605"/>
      <c r="F14" s="605"/>
      <c r="G14" s="605"/>
      <c r="H14" s="605"/>
      <c r="I14" s="605"/>
    </row>
    <row r="15" spans="1:9" x14ac:dyDescent="0.25">
      <c r="A15" s="606"/>
      <c r="B15" s="606"/>
      <c r="C15" s="606"/>
      <c r="D15" s="607"/>
      <c r="E15" s="607"/>
      <c r="F15" s="607"/>
      <c r="G15" s="607"/>
      <c r="H15" s="607"/>
      <c r="I15" s="607"/>
    </row>
    <row r="16" spans="1:9" x14ac:dyDescent="0.25">
      <c r="A16" s="606"/>
      <c r="B16" s="606"/>
      <c r="C16" s="606"/>
      <c r="D16" s="606"/>
      <c r="E16" s="176"/>
      <c r="F16" s="176"/>
    </row>
    <row r="17" spans="1:4" x14ac:dyDescent="0.25">
      <c r="A17" s="606"/>
      <c r="C17" s="606"/>
      <c r="D17" s="606"/>
    </row>
    <row r="18" spans="1:4" x14ac:dyDescent="0.25">
      <c r="C18" s="606"/>
      <c r="D18" s="606"/>
    </row>
    <row r="19" spans="1:4" x14ac:dyDescent="0.25">
      <c r="C19" s="606"/>
      <c r="D19" s="606"/>
    </row>
  </sheetData>
  <sheetProtection algorithmName="SHA-512" hashValue="ImCwNOS3+0XO11itqmXSXCdftusoFKomCV0oYcorPBEjUKbkWw3XZJDl+KlyC37/pyV2PDzO+sjCY4UoQOx67g==" saltValue="IdY5sfVwVSTFPcHRZ8S+tg==" spinCount="100000" sheet="1" objects="1" scenarios="1"/>
  <mergeCells count="11">
    <mergeCell ref="E2:H2"/>
    <mergeCell ref="B4:C4"/>
    <mergeCell ref="B5:C5"/>
    <mergeCell ref="B6:C6"/>
    <mergeCell ref="B7:C7"/>
    <mergeCell ref="B13:C13"/>
    <mergeCell ref="B10:C10"/>
    <mergeCell ref="B11:C11"/>
    <mergeCell ref="B12:C12"/>
    <mergeCell ref="B8:C8"/>
    <mergeCell ref="B9:C9"/>
  </mergeCells>
  <printOptions headings="1"/>
  <pageMargins left="0.31496062992125984" right="0.31496062992125984" top="0.74803149606299213" bottom="0.74803149606299213" header="0.31496062992125984" footer="0.31496062992125984"/>
  <pageSetup paperSize="9" scale="60" orientation="portrait" r:id="rId1"/>
  <ignoredErrors>
    <ignoredError sqref="H13:I13 H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58"/>
  <sheetViews>
    <sheetView topLeftCell="A31" zoomScale="90" zoomScaleNormal="90" workbookViewId="0">
      <selection activeCell="H46" sqref="H46:H48"/>
    </sheetView>
  </sheetViews>
  <sheetFormatPr defaultColWidth="9.140625" defaultRowHeight="12.75" x14ac:dyDescent="0.2"/>
  <cols>
    <col min="1" max="1" width="9" style="199" customWidth="1"/>
    <col min="2" max="2" width="1.28515625" style="143" customWidth="1"/>
    <col min="3" max="3" width="0.85546875" style="143" customWidth="1"/>
    <col min="4" max="4" width="74.5703125" style="143" customWidth="1"/>
    <col min="5" max="5" width="3.28515625" style="143" hidden="1" customWidth="1"/>
    <col min="6" max="6" width="4.140625" style="143" hidden="1" customWidth="1"/>
    <col min="7" max="7" width="2.7109375" style="143" hidden="1" customWidth="1"/>
    <col min="8" max="9" width="16.28515625" style="143" customWidth="1"/>
    <col min="10" max="10" width="26.28515625" style="143" hidden="1" customWidth="1"/>
    <col min="11" max="12" width="14.28515625" style="143" hidden="1" customWidth="1"/>
    <col min="13" max="13" width="67" style="143" customWidth="1"/>
    <col min="14" max="15" width="9.140625" style="143" customWidth="1"/>
    <col min="16" max="16" width="17.28515625" style="143" bestFit="1" customWidth="1"/>
    <col min="17" max="17" width="10.28515625" style="143" customWidth="1"/>
    <col min="18" max="18" width="9.140625" style="143" customWidth="1"/>
    <col min="19" max="16384" width="9.140625" style="143"/>
  </cols>
  <sheetData>
    <row r="1" spans="1:13" customFormat="1" ht="54" customHeight="1" x14ac:dyDescent="0.25">
      <c r="A1" s="144" t="s">
        <v>608</v>
      </c>
      <c r="B1" s="619" t="s">
        <v>609</v>
      </c>
      <c r="C1" s="619"/>
      <c r="D1" s="619"/>
      <c r="E1" s="619"/>
      <c r="F1" s="619"/>
      <c r="G1" s="619"/>
      <c r="H1" s="145"/>
      <c r="I1" s="620" t="s">
        <v>610</v>
      </c>
      <c r="J1" s="620" t="s">
        <v>611</v>
      </c>
      <c r="L1" s="146"/>
    </row>
    <row r="2" spans="1:13" customFormat="1" ht="44.25" customHeight="1" x14ac:dyDescent="0.25">
      <c r="A2" s="147"/>
      <c r="B2" s="148"/>
      <c r="C2" s="148"/>
      <c r="D2" s="148"/>
      <c r="E2" s="148"/>
      <c r="F2" s="148"/>
      <c r="G2" s="148"/>
      <c r="H2" s="148"/>
      <c r="I2" s="621"/>
      <c r="J2" s="621"/>
      <c r="K2" s="143"/>
      <c r="L2" s="149"/>
      <c r="M2" s="150" t="s">
        <v>612</v>
      </c>
    </row>
    <row r="3" spans="1:13" customFormat="1" ht="30.95" customHeight="1" x14ac:dyDescent="0.25">
      <c r="A3" s="151"/>
      <c r="B3" s="152"/>
      <c r="C3" s="152"/>
      <c r="D3" s="152"/>
      <c r="E3" s="152"/>
      <c r="F3" s="152"/>
      <c r="G3" s="153"/>
      <c r="H3" s="154" t="s">
        <v>613</v>
      </c>
      <c r="I3" s="155" t="s">
        <v>614</v>
      </c>
      <c r="J3" s="155" t="s">
        <v>614</v>
      </c>
      <c r="K3" s="149"/>
      <c r="L3" s="149"/>
      <c r="M3" s="156" t="s">
        <v>615</v>
      </c>
    </row>
    <row r="4" spans="1:13" customFormat="1" ht="28.5" customHeight="1" x14ac:dyDescent="0.25">
      <c r="A4" s="157"/>
      <c r="B4" s="158"/>
      <c r="C4" s="158"/>
      <c r="D4" s="158"/>
      <c r="E4" s="158"/>
      <c r="F4" s="158"/>
      <c r="G4" s="159"/>
      <c r="H4" s="160" t="s">
        <v>616</v>
      </c>
      <c r="I4" s="160" t="s">
        <v>616</v>
      </c>
      <c r="J4" s="160" t="s">
        <v>616</v>
      </c>
      <c r="K4" s="146" t="s">
        <v>616</v>
      </c>
      <c r="L4" s="146" t="s">
        <v>617</v>
      </c>
      <c r="M4" s="161" t="s">
        <v>618</v>
      </c>
    </row>
    <row r="5" spans="1:13" customFormat="1" ht="12.75" customHeight="1" x14ac:dyDescent="0.25">
      <c r="A5" s="162">
        <v>1</v>
      </c>
      <c r="B5" s="163" t="s">
        <v>619</v>
      </c>
      <c r="C5" s="164"/>
      <c r="D5" s="164"/>
      <c r="E5" s="164"/>
      <c r="F5" s="164"/>
      <c r="G5" s="165"/>
      <c r="H5" s="166"/>
      <c r="I5" s="167"/>
      <c r="J5" s="167"/>
      <c r="K5" s="168" t="s">
        <v>34</v>
      </c>
      <c r="L5" s="168" t="s">
        <v>34</v>
      </c>
      <c r="M5" s="146" t="s">
        <v>620</v>
      </c>
    </row>
    <row r="6" spans="1:13" customFormat="1" ht="12.75" customHeight="1" x14ac:dyDescent="0.25">
      <c r="A6" s="162" t="s">
        <v>621</v>
      </c>
      <c r="B6" s="169"/>
      <c r="C6" s="170" t="s">
        <v>622</v>
      </c>
      <c r="D6" s="170"/>
      <c r="E6" s="171"/>
      <c r="F6" s="171"/>
      <c r="G6" s="172"/>
      <c r="H6" s="173">
        <v>312015</v>
      </c>
      <c r="I6" s="174">
        <v>278493</v>
      </c>
      <c r="J6" s="175">
        <v>278493</v>
      </c>
      <c r="K6" s="176">
        <f t="shared" ref="K6:K12" si="0">H6-I6</f>
        <v>33522</v>
      </c>
      <c r="L6" s="176">
        <f t="shared" ref="L6:L12" si="1">IF(AND(OR(H6=0,I6&lt;&gt;0),OR(I6=0,H6&lt;&gt;0)),IF((H6+I6+K6&lt;&gt;0),IF(AND(OR(H6&gt;0,I6&lt;0),OR(I6&gt;0,H6&lt;0)),ABS(K6/MIN(ABS(I6),ABS(H6))),10),"-"),10)</f>
        <v>0.12036927319537655</v>
      </c>
      <c r="M6" s="177"/>
    </row>
    <row r="7" spans="1:13" customFormat="1" ht="12.75" customHeight="1" x14ac:dyDescent="0.25">
      <c r="A7" s="162" t="s">
        <v>623</v>
      </c>
      <c r="B7" s="169"/>
      <c r="C7" s="170" t="s">
        <v>624</v>
      </c>
      <c r="D7" s="170"/>
      <c r="E7" s="171"/>
      <c r="F7" s="171"/>
      <c r="G7" s="172"/>
      <c r="H7" s="173">
        <v>186652</v>
      </c>
      <c r="I7" s="173">
        <v>191844</v>
      </c>
      <c r="J7" s="178">
        <v>191844</v>
      </c>
      <c r="K7" s="176">
        <f t="shared" si="0"/>
        <v>-5192</v>
      </c>
      <c r="L7" s="176">
        <f t="shared" si="1"/>
        <v>2.7816471294173115E-2</v>
      </c>
      <c r="M7" s="177"/>
    </row>
    <row r="8" spans="1:13" customFormat="1" ht="12.75" customHeight="1" x14ac:dyDescent="0.25">
      <c r="A8" s="162" t="s">
        <v>625</v>
      </c>
      <c r="B8" s="169"/>
      <c r="C8" s="170" t="s">
        <v>626</v>
      </c>
      <c r="D8" s="170"/>
      <c r="E8" s="171"/>
      <c r="F8" s="171"/>
      <c r="G8" s="172"/>
      <c r="H8" s="173">
        <v>279704</v>
      </c>
      <c r="I8" s="173">
        <v>265252</v>
      </c>
      <c r="J8" s="178">
        <v>265252</v>
      </c>
      <c r="K8" s="176">
        <f t="shared" si="0"/>
        <v>14452</v>
      </c>
      <c r="L8" s="176">
        <f t="shared" si="1"/>
        <v>5.4484037820638487E-2</v>
      </c>
      <c r="M8" s="177"/>
    </row>
    <row r="9" spans="1:13" customFormat="1" ht="12.75" customHeight="1" x14ac:dyDescent="0.25">
      <c r="A9" s="162" t="s">
        <v>627</v>
      </c>
      <c r="B9" s="169"/>
      <c r="C9" s="170" t="s">
        <v>628</v>
      </c>
      <c r="D9" s="170"/>
      <c r="E9" s="171"/>
      <c r="F9" s="171"/>
      <c r="G9" s="172"/>
      <c r="H9" s="173">
        <v>168384</v>
      </c>
      <c r="I9" s="173">
        <v>156814</v>
      </c>
      <c r="J9" s="178">
        <v>156814</v>
      </c>
      <c r="K9" s="176">
        <f t="shared" si="0"/>
        <v>11570</v>
      </c>
      <c r="L9" s="176">
        <f t="shared" si="1"/>
        <v>7.3781677656331701E-2</v>
      </c>
      <c r="M9" s="177"/>
    </row>
    <row r="10" spans="1:13" customFormat="1" ht="12.75" customHeight="1" x14ac:dyDescent="0.25">
      <c r="A10" s="162" t="s">
        <v>629</v>
      </c>
      <c r="B10" s="169"/>
      <c r="C10" s="170" t="s">
        <v>630</v>
      </c>
      <c r="D10" s="170"/>
      <c r="E10" s="171"/>
      <c r="F10" s="171"/>
      <c r="G10" s="172"/>
      <c r="H10" s="173">
        <v>14593</v>
      </c>
      <c r="I10" s="173">
        <v>14548</v>
      </c>
      <c r="J10" s="178">
        <v>14548</v>
      </c>
      <c r="K10" s="176">
        <f t="shared" si="0"/>
        <v>45</v>
      </c>
      <c r="L10" s="176">
        <f t="shared" si="1"/>
        <v>3.0932086884795161E-3</v>
      </c>
      <c r="M10" s="177"/>
    </row>
    <row r="11" spans="1:13" customFormat="1" ht="12.75" customHeight="1" x14ac:dyDescent="0.25">
      <c r="A11" s="162" t="s">
        <v>631</v>
      </c>
      <c r="B11" s="11"/>
      <c r="C11" s="179" t="s">
        <v>632</v>
      </c>
      <c r="D11" s="171"/>
      <c r="E11" s="171"/>
      <c r="F11" s="171"/>
      <c r="G11" s="172"/>
      <c r="H11" s="173">
        <v>23089</v>
      </c>
      <c r="I11" s="173">
        <v>21896</v>
      </c>
      <c r="J11" s="178">
        <v>21896</v>
      </c>
      <c r="K11" s="176">
        <f t="shared" si="0"/>
        <v>1193</v>
      </c>
      <c r="L11" s="176">
        <f t="shared" si="1"/>
        <v>5.4484837413226163E-2</v>
      </c>
      <c r="M11" s="177"/>
    </row>
    <row r="12" spans="1:13" customFormat="1" ht="12.75" customHeight="1" x14ac:dyDescent="0.25">
      <c r="A12" s="162" t="s">
        <v>633</v>
      </c>
      <c r="B12" s="180" t="s">
        <v>634</v>
      </c>
      <c r="C12" s="181"/>
      <c r="D12" s="181"/>
      <c r="E12" s="181"/>
      <c r="F12" s="181"/>
      <c r="G12" s="182"/>
      <c r="H12" s="183">
        <f>SUM(H6:H11)</f>
        <v>984437</v>
      </c>
      <c r="I12" s="183">
        <f>SUM(I6:I11)</f>
        <v>928847</v>
      </c>
      <c r="J12" s="183">
        <f>SUM(J6:J11)</f>
        <v>928847</v>
      </c>
      <c r="K12" s="176">
        <f t="shared" si="0"/>
        <v>55590</v>
      </c>
      <c r="L12" s="176">
        <f t="shared" si="1"/>
        <v>5.9848392684694038E-2</v>
      </c>
      <c r="M12" s="177"/>
    </row>
    <row r="13" spans="1:13" customFormat="1" ht="12.75" customHeight="1" x14ac:dyDescent="0.25">
      <c r="A13" s="162"/>
      <c r="B13" s="184"/>
      <c r="C13" s="179"/>
      <c r="D13" s="179"/>
      <c r="E13" s="179"/>
      <c r="F13" s="179"/>
      <c r="G13" s="185"/>
      <c r="H13" s="186"/>
      <c r="I13" s="186"/>
      <c r="J13" s="186"/>
    </row>
    <row r="14" spans="1:13" customFormat="1" ht="12.75" customHeight="1" x14ac:dyDescent="0.25">
      <c r="A14" s="162">
        <v>2</v>
      </c>
      <c r="B14" s="163" t="s">
        <v>635</v>
      </c>
      <c r="C14" s="164"/>
      <c r="D14" s="164"/>
      <c r="E14" s="164"/>
      <c r="F14" s="164"/>
      <c r="G14" s="165"/>
      <c r="H14" s="187"/>
      <c r="I14" s="187"/>
      <c r="J14" s="187"/>
    </row>
    <row r="15" spans="1:13" customFormat="1" ht="12.75" customHeight="1" x14ac:dyDescent="0.25">
      <c r="A15" s="162" t="s">
        <v>636</v>
      </c>
      <c r="B15" s="169"/>
      <c r="C15" s="179" t="s">
        <v>637</v>
      </c>
      <c r="D15" s="171"/>
      <c r="E15" s="171"/>
      <c r="F15" s="171"/>
      <c r="G15" s="172"/>
      <c r="H15" s="2">
        <v>521373</v>
      </c>
      <c r="I15" s="173">
        <v>492564</v>
      </c>
      <c r="J15" s="178">
        <v>492564</v>
      </c>
      <c r="K15" s="176">
        <f t="shared" ref="K15:K20" si="2">H15-I15</f>
        <v>28809</v>
      </c>
      <c r="L15" s="176">
        <f t="shared" ref="L15:L20" si="3">IF(AND(OR(H15=0,I15&lt;&gt;0),OR(I15=0,H15&lt;&gt;0)),IF((H15+I15+K15&lt;&gt;0),IF(AND(OR(H15&gt;0,I15&lt;0),OR(I15&gt;0,H15&lt;0)),ABS(K15/MIN(ABS(I15),ABS(H15))),10),"-"),10)</f>
        <v>5.8487831022973662E-2</v>
      </c>
      <c r="M15" s="177"/>
    </row>
    <row r="16" spans="1:13" customFormat="1" ht="12.75" customHeight="1" x14ac:dyDescent="0.25">
      <c r="A16" s="162" t="s">
        <v>638</v>
      </c>
      <c r="B16" s="169"/>
      <c r="C16" s="179" t="s">
        <v>639</v>
      </c>
      <c r="D16" s="171"/>
      <c r="E16" s="171"/>
      <c r="F16" s="171"/>
      <c r="G16" s="172"/>
      <c r="H16" s="173">
        <v>0</v>
      </c>
      <c r="I16" s="173">
        <v>0</v>
      </c>
      <c r="J16" s="178">
        <v>0</v>
      </c>
      <c r="K16" s="176">
        <f t="shared" si="2"/>
        <v>0</v>
      </c>
      <c r="L16" s="176" t="str">
        <f t="shared" si="3"/>
        <v>-</v>
      </c>
      <c r="M16" s="177"/>
    </row>
    <row r="17" spans="1:16" customFormat="1" ht="12.75" customHeight="1" x14ac:dyDescent="0.25">
      <c r="A17" s="162" t="s">
        <v>640</v>
      </c>
      <c r="B17" s="12"/>
      <c r="C17" s="185" t="s">
        <v>641</v>
      </c>
      <c r="D17" s="171"/>
      <c r="E17" s="171"/>
      <c r="F17" s="171"/>
      <c r="G17" s="172"/>
      <c r="H17" s="173">
        <v>358578</v>
      </c>
      <c r="I17" s="173">
        <v>318891</v>
      </c>
      <c r="J17" s="178">
        <v>318891</v>
      </c>
      <c r="K17" s="176">
        <f t="shared" si="2"/>
        <v>39687</v>
      </c>
      <c r="L17" s="176">
        <f t="shared" si="3"/>
        <v>0.12445318306255115</v>
      </c>
      <c r="M17" s="177"/>
    </row>
    <row r="18" spans="1:16" customFormat="1" ht="12.75" customHeight="1" x14ac:dyDescent="0.25">
      <c r="A18" s="162" t="s">
        <v>642</v>
      </c>
      <c r="B18" s="169"/>
      <c r="C18" s="185" t="s">
        <v>643</v>
      </c>
      <c r="D18" s="171"/>
      <c r="E18" s="171"/>
      <c r="F18" s="171"/>
      <c r="G18" s="172"/>
      <c r="H18" s="173">
        <v>60197</v>
      </c>
      <c r="I18" s="173">
        <v>46700</v>
      </c>
      <c r="J18" s="178">
        <v>46700</v>
      </c>
      <c r="K18" s="176">
        <f t="shared" si="2"/>
        <v>13497</v>
      </c>
      <c r="L18" s="176">
        <f t="shared" si="3"/>
        <v>0.28901498929336189</v>
      </c>
      <c r="M18" s="177"/>
    </row>
    <row r="19" spans="1:16" customFormat="1" ht="12.75" customHeight="1" x14ac:dyDescent="0.25">
      <c r="A19" s="162" t="s">
        <v>644</v>
      </c>
      <c r="B19" s="12"/>
      <c r="C19" s="185" t="s">
        <v>645</v>
      </c>
      <c r="D19" s="171"/>
      <c r="E19" s="171"/>
      <c r="F19" s="171"/>
      <c r="G19" s="172"/>
      <c r="H19" s="173">
        <v>16840</v>
      </c>
      <c r="I19" s="173">
        <v>14490</v>
      </c>
      <c r="J19" s="178">
        <v>14490</v>
      </c>
      <c r="K19" s="176">
        <f t="shared" si="2"/>
        <v>2350</v>
      </c>
      <c r="L19" s="176">
        <f t="shared" si="3"/>
        <v>0.16218081435472739</v>
      </c>
      <c r="M19" s="177"/>
      <c r="P19" s="143"/>
    </row>
    <row r="20" spans="1:16" customFormat="1" ht="12.75" customHeight="1" x14ac:dyDescent="0.25">
      <c r="A20" s="162" t="s">
        <v>646</v>
      </c>
      <c r="B20" s="180" t="s">
        <v>647</v>
      </c>
      <c r="C20" s="181"/>
      <c r="D20" s="181"/>
      <c r="E20" s="181"/>
      <c r="F20" s="181"/>
      <c r="G20" s="182"/>
      <c r="H20" s="183">
        <f>SUM(H15:H19)</f>
        <v>956988</v>
      </c>
      <c r="I20" s="183">
        <f>SUM(I15:I19)</f>
        <v>872645</v>
      </c>
      <c r="J20" s="183">
        <f>SUM(J15:J19)</f>
        <v>872645</v>
      </c>
      <c r="K20" s="176">
        <f t="shared" si="2"/>
        <v>84343</v>
      </c>
      <c r="L20" s="176">
        <f t="shared" si="3"/>
        <v>9.6652132310389674E-2</v>
      </c>
      <c r="M20" s="177"/>
    </row>
    <row r="21" spans="1:16" customFormat="1" ht="12.75" customHeight="1" x14ac:dyDescent="0.25">
      <c r="A21" s="162"/>
      <c r="B21" s="11"/>
      <c r="C21" s="171"/>
      <c r="D21" s="171"/>
      <c r="E21" s="171"/>
      <c r="F21" s="171"/>
      <c r="G21" s="172"/>
      <c r="H21" s="4"/>
      <c r="I21" s="4"/>
      <c r="J21" s="4"/>
    </row>
    <row r="22" spans="1:16" customFormat="1" ht="25.5" customHeight="1" x14ac:dyDescent="0.25">
      <c r="A22" s="162">
        <v>3</v>
      </c>
      <c r="B22" s="616" t="s">
        <v>648</v>
      </c>
      <c r="C22" s="617"/>
      <c r="D22" s="617"/>
      <c r="E22" s="617"/>
      <c r="F22" s="617"/>
      <c r="G22" s="618"/>
      <c r="H22" s="183">
        <f>H12-H20</f>
        <v>27449</v>
      </c>
      <c r="I22" s="183">
        <f>I12-I20</f>
        <v>56202</v>
      </c>
      <c r="J22" s="183">
        <f>J12-J20</f>
        <v>56202</v>
      </c>
      <c r="K22" s="176">
        <f>H22-I22</f>
        <v>-28753</v>
      </c>
      <c r="L22" s="176">
        <f>IF(AND(OR(H22=0,I22&lt;&gt;0),OR(I22=0,H22&lt;&gt;0)),IF((H22+I22+K22&lt;&gt;0),IF(AND(OR(H22&gt;0,I22&lt;0),OR(I22&gt;0,H22&lt;0)),ABS(K22/MIN(ABS(I22),ABS(H22))),10),"-"),10)</f>
        <v>1.0475062843819447</v>
      </c>
      <c r="M22" s="177"/>
    </row>
    <row r="23" spans="1:16" customFormat="1" ht="12.75" customHeight="1" x14ac:dyDescent="0.25">
      <c r="A23" s="162"/>
      <c r="B23" s="184"/>
      <c r="C23" s="179"/>
      <c r="D23" s="179"/>
      <c r="E23" s="179"/>
      <c r="F23" s="179"/>
      <c r="G23" s="185"/>
      <c r="H23" s="186"/>
      <c r="I23" s="186"/>
      <c r="J23" s="186"/>
      <c r="M23" s="177"/>
    </row>
    <row r="24" spans="1:16" customFormat="1" ht="12.75" customHeight="1" x14ac:dyDescent="0.25">
      <c r="A24" s="162">
        <v>4</v>
      </c>
      <c r="B24" s="188" t="s">
        <v>649</v>
      </c>
      <c r="C24" s="189"/>
      <c r="D24" s="189"/>
      <c r="E24" s="189"/>
      <c r="F24" s="189"/>
      <c r="G24" s="190"/>
      <c r="H24" s="173">
        <v>187</v>
      </c>
      <c r="I24" s="173">
        <v>8048</v>
      </c>
      <c r="J24" s="178">
        <v>8048</v>
      </c>
      <c r="K24" s="176">
        <f>H24-I24</f>
        <v>-7861</v>
      </c>
      <c r="L24" s="176">
        <f>IF(AND(OR(H24=0,I24&lt;&gt;0),OR(I24=0,H24&lt;&gt;0)),IF((H24+I24+K24&lt;&gt;0),IF(AND(OR(H24&gt;0,I24&lt;0),OR(I24&gt;0,H24&lt;0)),ABS(K24/MIN(ABS(I24),ABS(H24))),10),"-"),10)</f>
        <v>42.037433155080215</v>
      </c>
      <c r="M24" s="177" t="s">
        <v>6</v>
      </c>
    </row>
    <row r="25" spans="1:16" customFormat="1" ht="12.75" customHeight="1" x14ac:dyDescent="0.25">
      <c r="A25" s="162">
        <v>5</v>
      </c>
      <c r="B25" s="188" t="s">
        <v>650</v>
      </c>
      <c r="C25" s="189"/>
      <c r="D25" s="189"/>
      <c r="E25" s="189"/>
      <c r="F25" s="189"/>
      <c r="G25" s="190"/>
      <c r="H25" s="173">
        <v>42357</v>
      </c>
      <c r="I25" s="173">
        <v>66209</v>
      </c>
      <c r="J25" s="178">
        <v>66209</v>
      </c>
      <c r="K25" s="176">
        <f>H25-I25</f>
        <v>-23852</v>
      </c>
      <c r="L25" s="176">
        <f>IF(AND(OR(H25=0,I25&lt;&gt;0),OR(I25=0,H25&lt;&gt;0)),IF((H25+I25+K25&lt;&gt;0),IF(AND(OR(H25&gt;0,I25&lt;0),OR(I25&gt;0,H25&lt;0)),ABS(K25/MIN(ABS(I25),ABS(H25))),10),"-"),10)</f>
        <v>0.56311825672261961</v>
      </c>
      <c r="M25" s="177"/>
    </row>
    <row r="26" spans="1:16" customFormat="1" ht="12.75" customHeight="1" x14ac:dyDescent="0.25">
      <c r="A26" s="162">
        <v>6</v>
      </c>
      <c r="B26" s="184" t="s">
        <v>651</v>
      </c>
      <c r="C26" s="179"/>
      <c r="D26" s="179"/>
      <c r="E26" s="179"/>
      <c r="F26" s="179"/>
      <c r="G26" s="185"/>
      <c r="H26" s="173">
        <v>0</v>
      </c>
      <c r="I26" s="173">
        <v>0</v>
      </c>
      <c r="J26" s="178">
        <v>0</v>
      </c>
      <c r="K26" s="176">
        <f>H26-I26</f>
        <v>0</v>
      </c>
      <c r="L26" s="176" t="str">
        <f>IF(AND(OR(H26=0,I26&lt;&gt;0),OR(I26=0,H26&lt;&gt;0)),IF((H26+I26+K26&lt;&gt;0),IF(AND(OR(H26&gt;0,I26&lt;0),OR(I26&gt;0,H26&lt;0)),ABS(K26/MIN(ABS(I26),ABS(H26))),10),"-"),10)</f>
        <v>-</v>
      </c>
      <c r="M26" s="177"/>
    </row>
    <row r="27" spans="1:16" customFormat="1" ht="12.75" customHeight="1" x14ac:dyDescent="0.25">
      <c r="A27" s="162">
        <v>7</v>
      </c>
      <c r="B27" s="184" t="s">
        <v>652</v>
      </c>
      <c r="C27" s="179"/>
      <c r="D27" s="179"/>
      <c r="E27" s="179"/>
      <c r="F27" s="179"/>
      <c r="G27" s="185"/>
      <c r="H27" s="173">
        <v>0</v>
      </c>
      <c r="I27" s="173">
        <v>0</v>
      </c>
      <c r="J27" s="178">
        <v>0</v>
      </c>
      <c r="K27" s="176">
        <f>H27-I27</f>
        <v>0</v>
      </c>
      <c r="L27" s="176" t="str">
        <f>IF(AND(OR(H27=0,I27&lt;&gt;0),OR(I27=0,H27&lt;&gt;0)),IF((H27+I27+K27&lt;&gt;0),IF(AND(OR(H27&gt;0,I27&lt;0),OR(I27&gt;0,H27&lt;0)),ABS(K27/MIN(ABS(I27),ABS(H27))),10),"-"),10)</f>
        <v>-</v>
      </c>
      <c r="M27" s="177"/>
    </row>
    <row r="28" spans="1:16" customFormat="1" ht="12.75" customHeight="1" x14ac:dyDescent="0.25">
      <c r="A28" s="162"/>
      <c r="B28" s="184"/>
      <c r="C28" s="179"/>
      <c r="D28" s="179"/>
      <c r="E28" s="179"/>
      <c r="F28" s="179"/>
      <c r="G28" s="185"/>
      <c r="H28" s="186"/>
      <c r="I28" s="186"/>
      <c r="J28" s="186"/>
    </row>
    <row r="29" spans="1:16" customFormat="1" ht="12.75" customHeight="1" x14ac:dyDescent="0.25">
      <c r="A29" s="162">
        <v>8</v>
      </c>
      <c r="B29" s="180" t="s">
        <v>653</v>
      </c>
      <c r="C29" s="181"/>
      <c r="D29" s="181"/>
      <c r="E29" s="181"/>
      <c r="F29" s="181"/>
      <c r="G29" s="182"/>
      <c r="H29" s="183">
        <f>H22+H24+H25+H26+H27</f>
        <v>69993</v>
      </c>
      <c r="I29" s="183">
        <f>I22+I24+I25+I26+I27</f>
        <v>130459</v>
      </c>
      <c r="J29" s="183">
        <f>J22+J24+J25+J26+J27</f>
        <v>130459</v>
      </c>
      <c r="K29" s="176">
        <f>H29-I29</f>
        <v>-60466</v>
      </c>
      <c r="L29" s="176">
        <f>IF(AND(OR(H29=0,I29&lt;&gt;0),OR(I29=0,H29&lt;&gt;0)),IF((H29+I29+K29&lt;&gt;0),IF(AND(OR(H29&gt;0,I29&lt;0),OR(I29&gt;0,H29&lt;0)),ABS(K29/MIN(ABS(I29),ABS(H29))),10),"-"),10)</f>
        <v>0.86388638863886391</v>
      </c>
      <c r="M29" s="177"/>
    </row>
    <row r="30" spans="1:16" customFormat="1" ht="12.75" customHeight="1" x14ac:dyDescent="0.25">
      <c r="A30" s="162"/>
      <c r="B30" s="191"/>
      <c r="C30" s="192"/>
      <c r="D30" s="192"/>
      <c r="E30" s="192"/>
      <c r="F30" s="192"/>
      <c r="G30" s="193"/>
      <c r="H30" s="186"/>
      <c r="I30" s="186"/>
      <c r="J30" s="186"/>
    </row>
    <row r="31" spans="1:16" customFormat="1" ht="12.75" customHeight="1" x14ac:dyDescent="0.25">
      <c r="A31" s="162">
        <v>9</v>
      </c>
      <c r="B31" s="163" t="s">
        <v>654</v>
      </c>
      <c r="C31" s="164"/>
      <c r="D31" s="164"/>
      <c r="E31" s="164"/>
      <c r="F31" s="164"/>
      <c r="G31" s="165"/>
      <c r="H31" s="187"/>
      <c r="I31" s="187"/>
      <c r="J31" s="187"/>
      <c r="K31" s="176"/>
      <c r="L31" s="176"/>
      <c r="M31" s="194"/>
    </row>
    <row r="32" spans="1:16" customFormat="1" ht="12.75" customHeight="1" x14ac:dyDescent="0.25">
      <c r="A32" s="162" t="s">
        <v>655</v>
      </c>
      <c r="B32" s="184"/>
      <c r="C32" s="179"/>
      <c r="D32" s="179" t="s">
        <v>656</v>
      </c>
      <c r="E32" s="179"/>
      <c r="F32" s="179"/>
      <c r="G32" s="185"/>
      <c r="H32" s="173">
        <v>0</v>
      </c>
      <c r="I32" s="173">
        <v>0</v>
      </c>
      <c r="J32" s="178">
        <v>0</v>
      </c>
      <c r="K32" s="176">
        <f>H32-I32</f>
        <v>0</v>
      </c>
      <c r="L32" s="176" t="str">
        <f>IF(AND(OR(H32=0,I32&lt;&gt;0),OR(I32=0,H32&lt;&gt;0)),IF((H32+I32+K32&lt;&gt;0),IF(AND(OR(H32&gt;0,I32&lt;0),OR(I32&gt;0,H32&lt;0)),ABS(K32/MIN(ABS(I32),ABS(H32))),10),"-"),10)</f>
        <v>-</v>
      </c>
      <c r="M32" s="177"/>
    </row>
    <row r="33" spans="1:13" customFormat="1" ht="12.75" customHeight="1" x14ac:dyDescent="0.25">
      <c r="A33" s="162" t="s">
        <v>657</v>
      </c>
      <c r="B33" s="184"/>
      <c r="C33" s="179"/>
      <c r="D33" s="179" t="s">
        <v>658</v>
      </c>
      <c r="E33" s="179"/>
      <c r="F33" s="179"/>
      <c r="G33" s="185"/>
      <c r="H33" s="173">
        <v>-15</v>
      </c>
      <c r="I33" s="173">
        <v>-18</v>
      </c>
      <c r="J33" s="178">
        <v>-18</v>
      </c>
      <c r="K33" s="176">
        <f>H33-I33</f>
        <v>3</v>
      </c>
      <c r="L33" s="176">
        <f>IF(AND(OR(H33=0,I33&lt;&gt;0),OR(I33=0,H33&lt;&gt;0)),IF((H33+I33+K33&lt;&gt;0),IF(AND(OR(H33&gt;0,I33&lt;0),OR(I33&gt;0,H33&lt;0)),ABS(K33/MIN(ABS(I33),ABS(H33))),10),"-"),10)</f>
        <v>0.2</v>
      </c>
      <c r="M33" s="177"/>
    </row>
    <row r="34" spans="1:13" customFormat="1" ht="12.75" customHeight="1" x14ac:dyDescent="0.25">
      <c r="A34" s="162" t="s">
        <v>659</v>
      </c>
      <c r="B34" s="180" t="s">
        <v>660</v>
      </c>
      <c r="C34" s="181"/>
      <c r="D34" s="181"/>
      <c r="E34" s="181"/>
      <c r="F34" s="181"/>
      <c r="G34" s="182"/>
      <c r="H34" s="183">
        <f>SUM(H32:H33)</f>
        <v>-15</v>
      </c>
      <c r="I34" s="183">
        <f>SUM(I32:I33)</f>
        <v>-18</v>
      </c>
      <c r="J34" s="183">
        <f>SUM(J32:J33)</f>
        <v>-18</v>
      </c>
      <c r="K34" s="176">
        <f>H34-I34</f>
        <v>3</v>
      </c>
      <c r="L34" s="176">
        <f>IF(AND(OR(H34=0,I34&lt;&gt;0),OR(I34=0,H34&lt;&gt;0)),IF((H34+I34+K34&lt;&gt;0),IF(AND(OR(H34&gt;0,I34&lt;0),OR(I34&gt;0,H34&lt;0)),ABS(K34/MIN(ABS(I34),ABS(H34))),10),"-"),10)</f>
        <v>0.2</v>
      </c>
      <c r="M34" s="177"/>
    </row>
    <row r="35" spans="1:13" customFormat="1" ht="12.75" customHeight="1" x14ac:dyDescent="0.25">
      <c r="A35" s="162"/>
      <c r="B35" s="184"/>
      <c r="C35" s="179"/>
      <c r="D35" s="179"/>
      <c r="E35" s="179"/>
      <c r="F35" s="179"/>
      <c r="G35" s="185"/>
      <c r="H35" s="186"/>
      <c r="I35" s="186"/>
      <c r="J35" s="186"/>
    </row>
    <row r="36" spans="1:13" customFormat="1" ht="12.75" customHeight="1" x14ac:dyDescent="0.25">
      <c r="A36" s="162">
        <v>10</v>
      </c>
      <c r="B36" s="180" t="s">
        <v>661</v>
      </c>
      <c r="C36" s="181"/>
      <c r="D36" s="181"/>
      <c r="E36" s="181"/>
      <c r="F36" s="181"/>
      <c r="G36" s="182"/>
      <c r="H36" s="183">
        <f>H29+H34</f>
        <v>69978</v>
      </c>
      <c r="I36" s="183">
        <f>I29+I34</f>
        <v>130441</v>
      </c>
      <c r="J36" s="183">
        <f>J29+J34</f>
        <v>130441</v>
      </c>
      <c r="K36" s="176">
        <f>H36-I36</f>
        <v>-60463</v>
      </c>
      <c r="L36" s="176">
        <f>IF(AND(OR(H36=0,I36&lt;&gt;0),OR(I36=0,H36&lt;&gt;0)),IF((H36+I36+K36&lt;&gt;0),IF(AND(OR(H36&gt;0,I36&lt;0),OR(I36&gt;0,H36&lt;0)),ABS(K36/MIN(ABS(I36),ABS(H36))),10),"-"),10)</f>
        <v>0.86402869473263022</v>
      </c>
      <c r="M36" s="177"/>
    </row>
    <row r="37" spans="1:13" customFormat="1" ht="12.75" customHeight="1" x14ac:dyDescent="0.25">
      <c r="A37" s="162"/>
      <c r="B37" s="184"/>
      <c r="C37" s="179"/>
      <c r="D37" s="179"/>
      <c r="E37" s="179"/>
      <c r="F37" s="179"/>
      <c r="G37" s="185"/>
      <c r="H37" s="186"/>
      <c r="I37" s="186"/>
      <c r="J37" s="186"/>
    </row>
    <row r="38" spans="1:13" customFormat="1" ht="12.75" customHeight="1" x14ac:dyDescent="0.25">
      <c r="A38" s="162">
        <v>11</v>
      </c>
      <c r="B38" s="184" t="s">
        <v>662</v>
      </c>
      <c r="C38" s="179"/>
      <c r="D38" s="179"/>
      <c r="E38" s="179"/>
      <c r="F38" s="179"/>
      <c r="G38" s="185"/>
      <c r="H38" s="173">
        <v>0</v>
      </c>
      <c r="I38" s="173">
        <v>0</v>
      </c>
      <c r="J38" s="178">
        <v>0</v>
      </c>
      <c r="K38" s="176">
        <f>H38-I38</f>
        <v>0</v>
      </c>
      <c r="L38" s="176" t="str">
        <f>IF(AND(OR(H38=0,I38&lt;&gt;0),OR(I38=0,H38&lt;&gt;0)),IF((H38+I38+K38&lt;&gt;0),IF(AND(OR(H38&gt;0,I38&lt;0),OR(I38&gt;0,H38&lt;0)),ABS(K38/MIN(ABS(I38),ABS(H38))),10),"-"),10)</f>
        <v>-</v>
      </c>
      <c r="M38" s="194"/>
    </row>
    <row r="39" spans="1:13" customFormat="1" ht="12.75" customHeight="1" x14ac:dyDescent="0.25">
      <c r="A39" s="162">
        <v>12</v>
      </c>
      <c r="B39" s="184" t="s">
        <v>663</v>
      </c>
      <c r="C39" s="179"/>
      <c r="D39" s="179"/>
      <c r="E39" s="179"/>
      <c r="F39" s="179"/>
      <c r="G39" s="185"/>
      <c r="H39" s="173">
        <v>100983</v>
      </c>
      <c r="I39" s="173">
        <v>-5129</v>
      </c>
      <c r="J39" s="178">
        <v>-5129</v>
      </c>
      <c r="K39" s="176">
        <f>H39-I39</f>
        <v>106112</v>
      </c>
      <c r="L39" s="176">
        <f>IF(AND(OR(H39=0,I39&lt;&gt;0),OR(I39=0,H39&lt;&gt;0)),IF((H39+I39+K39&lt;&gt;0),IF(AND(OR(H39&gt;0,I39&lt;0),OR(I39&gt;0,H39&lt;0)),ABS(K39/MIN(ABS(I39),ABS(H39))),10),"-"),10)</f>
        <v>10</v>
      </c>
      <c r="M39" s="194"/>
    </row>
    <row r="40" spans="1:13" customFormat="1" ht="12.75" customHeight="1" x14ac:dyDescent="0.25">
      <c r="A40" s="162">
        <v>13</v>
      </c>
      <c r="B40" s="184" t="s">
        <v>664</v>
      </c>
      <c r="C40" s="179"/>
      <c r="D40" s="179"/>
      <c r="E40" s="179"/>
      <c r="F40" s="179"/>
      <c r="G40" s="185"/>
      <c r="H40" s="173">
        <v>0</v>
      </c>
      <c r="I40" s="173">
        <v>0</v>
      </c>
      <c r="J40" s="178">
        <v>0</v>
      </c>
      <c r="K40" s="176">
        <f>H40-I40</f>
        <v>0</v>
      </c>
      <c r="L40" s="176" t="str">
        <f>IF(AND(OR(H40=0,I40&lt;&gt;0),OR(I40=0,H40&lt;&gt;0)),IF((H40+I40+K40&lt;&gt;0),IF(AND(OR(H40&gt;0,I40&lt;0),OR(I40&gt;0,H40&lt;0)),ABS(K40/MIN(ABS(I40),ABS(H40))),10),"-"),10)</f>
        <v>-</v>
      </c>
      <c r="M40" s="143" t="s">
        <v>665</v>
      </c>
    </row>
    <row r="41" spans="1:13" customFormat="1" ht="12.75" customHeight="1" x14ac:dyDescent="0.25">
      <c r="A41" s="162">
        <v>14</v>
      </c>
      <c r="B41" s="184" t="s">
        <v>666</v>
      </c>
      <c r="C41" s="179"/>
      <c r="D41" s="179"/>
      <c r="E41" s="179"/>
      <c r="F41" s="179"/>
      <c r="G41" s="185"/>
      <c r="H41" s="173">
        <v>0</v>
      </c>
      <c r="I41" s="173">
        <v>0</v>
      </c>
      <c r="J41" s="178">
        <v>0</v>
      </c>
      <c r="K41" s="176">
        <f>H41-I41</f>
        <v>0</v>
      </c>
      <c r="L41" s="176" t="str">
        <f>IF(AND(OR(H41=0,I41&lt;&gt;0),OR(I41=0,H41&lt;&gt;0)),IF((H41+I41+K41&lt;&gt;0),IF(AND(OR(H41&gt;0,I41&lt;0),OR(I41&gt;0,H41&lt;0)),ABS(K41/MIN(ABS(I41),ABS(H41))),10),"-"),10)</f>
        <v>-</v>
      </c>
      <c r="M41" s="177"/>
    </row>
    <row r="42" spans="1:13" customFormat="1" ht="12.75" customHeight="1" x14ac:dyDescent="0.25">
      <c r="A42" s="162"/>
      <c r="B42" s="184"/>
      <c r="C42" s="179"/>
      <c r="D42" s="179"/>
      <c r="E42" s="179"/>
      <c r="F42" s="179"/>
      <c r="G42" s="185"/>
      <c r="H42" s="195"/>
      <c r="I42" s="195"/>
      <c r="J42" s="186"/>
    </row>
    <row r="43" spans="1:13" customFormat="1" ht="12.75" customHeight="1" x14ac:dyDescent="0.25">
      <c r="A43" s="162">
        <v>15</v>
      </c>
      <c r="B43" s="180" t="s">
        <v>667</v>
      </c>
      <c r="C43" s="181"/>
      <c r="D43" s="181"/>
      <c r="E43" s="181"/>
      <c r="F43" s="181"/>
      <c r="G43" s="182"/>
      <c r="H43" s="183">
        <f>H36+H38+H39+H40+H41</f>
        <v>170961</v>
      </c>
      <c r="I43" s="183">
        <f>I36+I38+I39+I40+I41</f>
        <v>125312</v>
      </c>
      <c r="J43" s="183">
        <f>J36+J38+J39+J40</f>
        <v>125312</v>
      </c>
      <c r="K43" s="176">
        <f>H43-I43</f>
        <v>45649</v>
      </c>
      <c r="L43" s="176">
        <f>IF(AND(OR(H43=0,I43&lt;&gt;0),OR(I43=0,H43&lt;&gt;0)),IF((H43+I43+K43&lt;&gt;0),IF(AND(OR(H43&gt;0,I43&lt;0),OR(I43&gt;0,H43&lt;0)),ABS(K43/MIN(ABS(I43),ABS(H43))),10),"-"),10)</f>
        <v>0.36428275025536261</v>
      </c>
      <c r="M43" s="194"/>
    </row>
    <row r="44" spans="1:13" customFormat="1" ht="12.75" customHeight="1" x14ac:dyDescent="0.25">
      <c r="A44" s="162"/>
      <c r="B44" s="184"/>
      <c r="C44" s="179"/>
      <c r="D44" s="179"/>
      <c r="E44" s="179"/>
      <c r="F44" s="179"/>
      <c r="G44" s="185"/>
      <c r="H44" s="186"/>
      <c r="I44" s="186"/>
      <c r="J44" s="186"/>
    </row>
    <row r="45" spans="1:13" customFormat="1" ht="12.75" customHeight="1" x14ac:dyDescent="0.25">
      <c r="A45" s="162">
        <v>16</v>
      </c>
      <c r="B45" s="163" t="s">
        <v>668</v>
      </c>
      <c r="C45" s="164"/>
      <c r="D45" s="164"/>
      <c r="E45" s="164"/>
      <c r="F45" s="164"/>
      <c r="G45" s="165"/>
      <c r="H45" s="187"/>
      <c r="I45" s="187"/>
      <c r="J45" s="187"/>
      <c r="K45" s="143"/>
    </row>
    <row r="46" spans="1:13" customFormat="1" ht="12.75" customHeight="1" x14ac:dyDescent="0.25">
      <c r="A46" s="162" t="s">
        <v>669</v>
      </c>
      <c r="B46" s="184"/>
      <c r="C46" s="179"/>
      <c r="D46" s="179" t="s">
        <v>670</v>
      </c>
      <c r="E46" s="179"/>
      <c r="F46" s="179"/>
      <c r="G46" s="185"/>
      <c r="H46" s="173">
        <v>31983</v>
      </c>
      <c r="I46" s="173">
        <v>49325</v>
      </c>
      <c r="J46" s="178">
        <v>49325</v>
      </c>
      <c r="K46" s="176">
        <f t="shared" ref="K46:K52" si="4">H46-I46</f>
        <v>-17342</v>
      </c>
      <c r="L46" s="176">
        <f t="shared" ref="L46:L52" si="5">IF(AND(OR(H46=0,I46&lt;&gt;0),OR(I46=0,H46&lt;&gt;0)),IF((H46+I46+K46&lt;&gt;0),IF(AND(OR(H46&gt;0,I46&lt;0),OR(I46&gt;0,H46&lt;0)),ABS(K46/MIN(ABS(I46),ABS(H46))),10),"-"),10)</f>
        <v>0.54222555732733013</v>
      </c>
      <c r="M46" s="194"/>
    </row>
    <row r="47" spans="1:13" customFormat="1" ht="12.75" customHeight="1" x14ac:dyDescent="0.25">
      <c r="A47" s="162" t="s">
        <v>671</v>
      </c>
      <c r="B47" s="184"/>
      <c r="C47" s="179"/>
      <c r="D47" s="179" t="s">
        <v>672</v>
      </c>
      <c r="E47" s="179"/>
      <c r="F47" s="179"/>
      <c r="G47" s="185"/>
      <c r="H47" s="173">
        <v>8710</v>
      </c>
      <c r="I47" s="173">
        <v>7205</v>
      </c>
      <c r="J47" s="178">
        <v>7205</v>
      </c>
      <c r="K47" s="176">
        <f t="shared" si="4"/>
        <v>1505</v>
      </c>
      <c r="L47" s="176">
        <f t="shared" si="5"/>
        <v>0.20888272033310201</v>
      </c>
      <c r="M47" s="194"/>
    </row>
    <row r="48" spans="1:13" customFormat="1" ht="12.75" customHeight="1" x14ac:dyDescent="0.25">
      <c r="A48" s="162" t="s">
        <v>673</v>
      </c>
      <c r="B48" s="184"/>
      <c r="C48" s="179"/>
      <c r="D48" s="179" t="s">
        <v>674</v>
      </c>
      <c r="E48" s="179"/>
      <c r="F48" s="179"/>
      <c r="G48" s="185"/>
      <c r="H48" s="173">
        <v>130268</v>
      </c>
      <c r="I48" s="173">
        <v>68782</v>
      </c>
      <c r="J48" s="178">
        <v>68782</v>
      </c>
      <c r="K48" s="176">
        <f t="shared" si="4"/>
        <v>61486</v>
      </c>
      <c r="L48" s="176">
        <f t="shared" si="5"/>
        <v>0.89392573638451922</v>
      </c>
      <c r="M48" s="194"/>
    </row>
    <row r="49" spans="1:13" customFormat="1" ht="12.75" customHeight="1" x14ac:dyDescent="0.25">
      <c r="A49" s="162" t="s">
        <v>675</v>
      </c>
      <c r="B49" s="184"/>
      <c r="C49" s="179"/>
      <c r="D49" s="179" t="s">
        <v>676</v>
      </c>
      <c r="E49" s="179"/>
      <c r="F49" s="179"/>
      <c r="G49" s="185"/>
      <c r="H49" s="173">
        <v>0</v>
      </c>
      <c r="I49" s="173">
        <v>0</v>
      </c>
      <c r="J49" s="178">
        <v>0</v>
      </c>
      <c r="K49" s="176">
        <f t="shared" si="4"/>
        <v>0</v>
      </c>
      <c r="L49" s="176" t="str">
        <f t="shared" si="5"/>
        <v>-</v>
      </c>
      <c r="M49" s="194"/>
    </row>
    <row r="50" spans="1:13" customFormat="1" ht="12.75" customHeight="1" x14ac:dyDescent="0.25">
      <c r="A50" s="162" t="s">
        <v>677</v>
      </c>
      <c r="B50" s="184"/>
      <c r="D50" s="179" t="s">
        <v>678</v>
      </c>
      <c r="E50" s="179"/>
      <c r="F50" s="179"/>
      <c r="G50" s="185"/>
      <c r="H50" s="196">
        <f>SUM(H46:H49)</f>
        <v>170961</v>
      </c>
      <c r="I50" s="196">
        <f>SUM(I46:I49)</f>
        <v>125312</v>
      </c>
      <c r="J50" s="196">
        <f>SUM(J46:J49)</f>
        <v>125312</v>
      </c>
      <c r="K50" s="176">
        <f t="shared" si="4"/>
        <v>45649</v>
      </c>
      <c r="L50" s="176">
        <f t="shared" si="5"/>
        <v>0.36428275025536261</v>
      </c>
      <c r="M50" s="194"/>
    </row>
    <row r="51" spans="1:13" x14ac:dyDescent="0.2">
      <c r="A51" s="162" t="s">
        <v>679</v>
      </c>
      <c r="B51" s="184"/>
      <c r="C51" s="14"/>
      <c r="D51" s="179" t="s">
        <v>680</v>
      </c>
      <c r="E51" s="179"/>
      <c r="F51" s="179"/>
      <c r="G51" s="185"/>
      <c r="H51" s="173">
        <v>0</v>
      </c>
      <c r="I51" s="173">
        <v>0</v>
      </c>
      <c r="J51" s="178">
        <v>0</v>
      </c>
      <c r="K51" s="176">
        <f t="shared" si="4"/>
        <v>0</v>
      </c>
      <c r="L51" s="176" t="str">
        <f t="shared" si="5"/>
        <v>-</v>
      </c>
      <c r="M51" s="194"/>
    </row>
    <row r="52" spans="1:13" x14ac:dyDescent="0.2">
      <c r="A52" s="162" t="s">
        <v>681</v>
      </c>
      <c r="B52" s="181"/>
      <c r="C52" s="181" t="s">
        <v>682</v>
      </c>
      <c r="D52" s="181"/>
      <c r="E52" s="181"/>
      <c r="F52" s="181"/>
      <c r="G52" s="181"/>
      <c r="H52" s="183">
        <f>H50+H51</f>
        <v>170961</v>
      </c>
      <c r="I52" s="183">
        <f>I50+I51</f>
        <v>125312</v>
      </c>
      <c r="J52" s="197">
        <f>J50+J51</f>
        <v>125312</v>
      </c>
      <c r="K52" s="176">
        <f t="shared" si="4"/>
        <v>45649</v>
      </c>
      <c r="L52" s="176">
        <f t="shared" si="5"/>
        <v>0.36428275025536261</v>
      </c>
      <c r="M52" s="194"/>
    </row>
    <row r="53" spans="1:13" x14ac:dyDescent="0.2">
      <c r="A53" s="162"/>
      <c r="B53" s="184"/>
      <c r="D53" s="179"/>
      <c r="E53" s="179"/>
      <c r="F53" s="179"/>
      <c r="G53" s="185"/>
      <c r="H53" s="195"/>
      <c r="I53" s="186"/>
      <c r="J53" s="186"/>
    </row>
    <row r="54" spans="1:13" x14ac:dyDescent="0.2">
      <c r="A54" s="162">
        <v>17</v>
      </c>
      <c r="B54" s="163" t="s">
        <v>683</v>
      </c>
      <c r="C54" s="164"/>
      <c r="D54" s="164"/>
      <c r="E54" s="164"/>
      <c r="F54" s="164"/>
      <c r="G54" s="165"/>
      <c r="H54" s="187"/>
      <c r="I54" s="187"/>
      <c r="J54" s="187"/>
    </row>
    <row r="55" spans="1:13" x14ac:dyDescent="0.2">
      <c r="A55" s="162" t="s">
        <v>684</v>
      </c>
      <c r="B55" s="184"/>
      <c r="C55" s="179" t="s">
        <v>685</v>
      </c>
      <c r="D55" s="179"/>
      <c r="E55" s="179"/>
      <c r="F55" s="179"/>
      <c r="G55" s="185"/>
      <c r="H55" s="173">
        <v>0</v>
      </c>
      <c r="I55" s="173">
        <v>0</v>
      </c>
      <c r="J55" s="178">
        <v>0</v>
      </c>
      <c r="K55" s="176">
        <f>H55-I55</f>
        <v>0</v>
      </c>
      <c r="L55" s="176" t="str">
        <f>IF(AND(OR(H55=0,I55&lt;&gt;0),OR(I55=0,H55&lt;&gt;0)),IF((H55+I55+K55&lt;&gt;0),IF(AND(OR(H55&gt;0,I55&lt;0),OR(I55&gt;0,H55&lt;0)),ABS(K55/MIN(ABS(I55),ABS(H55))),10),"-"),10)</f>
        <v>-</v>
      </c>
      <c r="M55" s="194"/>
    </row>
    <row r="56" spans="1:13" x14ac:dyDescent="0.2">
      <c r="A56" s="162" t="s">
        <v>686</v>
      </c>
      <c r="B56" s="184"/>
      <c r="C56" s="179" t="s">
        <v>687</v>
      </c>
      <c r="D56" s="179"/>
      <c r="E56" s="179"/>
      <c r="F56" s="179"/>
      <c r="G56" s="185"/>
      <c r="H56" s="196">
        <f>H36-H55</f>
        <v>69978</v>
      </c>
      <c r="I56" s="196">
        <f>I36-I55</f>
        <v>130441</v>
      </c>
      <c r="J56" s="196">
        <v>0</v>
      </c>
      <c r="K56" s="198">
        <f>H56-I56</f>
        <v>-60463</v>
      </c>
      <c r="L56" s="176">
        <f>IF(AND(OR(H56=0,I56&lt;&gt;0),OR(I56=0,H56&lt;&gt;0)),IF((H56+I56+K56&lt;&gt;0),IF(AND(OR(H56&gt;0,I56&lt;0),OR(I56&gt;0,H56&lt;0)),ABS(K56/MIN(ABS(I56),ABS(H56))),10),"-"),10)</f>
        <v>0.86402869473263022</v>
      </c>
      <c r="M56" s="194"/>
    </row>
    <row r="58" spans="1:13" x14ac:dyDescent="0.2">
      <c r="B58" s="143" t="s">
        <v>688</v>
      </c>
    </row>
  </sheetData>
  <sheetProtection algorithmName="SHA-512" hashValue="Z0Xt/jAEdvzjZ8k55VwPAm7SrQQPuMtgcWYXwl07ljVaCL+OUUP6AuWIk3wc6/7AQIDR+nE437cyMrVpXrC7Ig==" saltValue="IUgXdCVPtgZPeci7QSDPvA==" spinCount="100000" sheet="1" objects="1" scenarios="1"/>
  <mergeCells count="4">
    <mergeCell ref="B22:G22"/>
    <mergeCell ref="B1:G1"/>
    <mergeCell ref="I1:I2"/>
    <mergeCell ref="J1:J2"/>
  </mergeCells>
  <conditionalFormatting sqref="M6:M10">
    <cfRule type="expression" dxfId="208" priority="1">
      <formula>AND(OR((L6)&gt;2,(L6)&lt;-2),(L6)&lt;&gt;"-",OR((K6)&gt;750,(K6)&lt;-750))</formula>
    </cfRule>
  </conditionalFormatting>
  <conditionalFormatting sqref="M11">
    <cfRule type="expression" dxfId="207" priority="2">
      <formula>AND(OR((L11)&gt;2,(L11)&lt;-2),(L11)&lt;&gt;"-",OR((K11)&gt;750,(K11)&lt;-750))</formula>
    </cfRule>
  </conditionalFormatting>
  <conditionalFormatting sqref="M15:M19">
    <cfRule type="expression" dxfId="206" priority="3">
      <formula>AND(OR((L15)&gt;2,(L15)&lt;-2),(L15)&lt;&gt;"-",OR((K15)&gt;750,(K15)&lt;-750))</formula>
    </cfRule>
  </conditionalFormatting>
  <conditionalFormatting sqref="I6">
    <cfRule type="expression" dxfId="205" priority="4">
      <formula>I6&lt;&gt;J6</formula>
    </cfRule>
  </conditionalFormatting>
  <conditionalFormatting sqref="I7">
    <cfRule type="expression" dxfId="204" priority="5">
      <formula>I7&lt;&gt;J7</formula>
    </cfRule>
  </conditionalFormatting>
  <conditionalFormatting sqref="I8">
    <cfRule type="expression" dxfId="203" priority="6">
      <formula>I8&lt;&gt;J8</formula>
    </cfRule>
  </conditionalFormatting>
  <conditionalFormatting sqref="I10">
    <cfRule type="expression" dxfId="202" priority="7">
      <formula>I10&lt;&gt;J10</formula>
    </cfRule>
  </conditionalFormatting>
  <conditionalFormatting sqref="I11">
    <cfRule type="expression" dxfId="201" priority="8">
      <formula>I11&lt;&gt;J11</formula>
    </cfRule>
  </conditionalFormatting>
  <conditionalFormatting sqref="I15">
    <cfRule type="expression" dxfId="200" priority="9">
      <formula>I15&lt;&gt;J15</formula>
    </cfRule>
  </conditionalFormatting>
  <conditionalFormatting sqref="I16">
    <cfRule type="expression" dxfId="199" priority="10">
      <formula>I16&lt;&gt;J16</formula>
    </cfRule>
  </conditionalFormatting>
  <conditionalFormatting sqref="I17">
    <cfRule type="expression" dxfId="198" priority="11">
      <formula>I17&lt;&gt;J17</formula>
    </cfRule>
  </conditionalFormatting>
  <conditionalFormatting sqref="I19">
    <cfRule type="expression" dxfId="197" priority="12">
      <formula>I19&lt;&gt;J19</formula>
    </cfRule>
  </conditionalFormatting>
  <conditionalFormatting sqref="I24">
    <cfRule type="expression" dxfId="196" priority="13">
      <formula>I24&lt;&gt;J24</formula>
    </cfRule>
  </conditionalFormatting>
  <conditionalFormatting sqref="I27">
    <cfRule type="expression" dxfId="195" priority="14">
      <formula>I27&lt;&gt;J27</formula>
    </cfRule>
  </conditionalFormatting>
  <conditionalFormatting sqref="I38">
    <cfRule type="expression" dxfId="194" priority="15">
      <formula>I38&lt;&gt;J38</formula>
    </cfRule>
  </conditionalFormatting>
  <conditionalFormatting sqref="I39">
    <cfRule type="expression" dxfId="193" priority="16">
      <formula>I39&lt;&gt;J39</formula>
    </cfRule>
  </conditionalFormatting>
  <conditionalFormatting sqref="I40">
    <cfRule type="expression" dxfId="192" priority="17">
      <formula>I40&lt;&gt;J40</formula>
    </cfRule>
  </conditionalFormatting>
  <conditionalFormatting sqref="I41">
    <cfRule type="expression" dxfId="191" priority="18">
      <formula>I41&lt;&gt;J41</formula>
    </cfRule>
  </conditionalFormatting>
  <conditionalFormatting sqref="I46">
    <cfRule type="expression" dxfId="190" priority="19">
      <formula>I46&lt;&gt;J46</formula>
    </cfRule>
  </conditionalFormatting>
  <conditionalFormatting sqref="I47">
    <cfRule type="expression" dxfId="189" priority="20">
      <formula>I47&lt;&gt;J47</formula>
    </cfRule>
  </conditionalFormatting>
  <conditionalFormatting sqref="I48">
    <cfRule type="expression" dxfId="188" priority="21">
      <formula>I48&lt;&gt;J48</formula>
    </cfRule>
  </conditionalFormatting>
  <conditionalFormatting sqref="I49">
    <cfRule type="expression" dxfId="187" priority="22">
      <formula>I49&lt;&gt;J49</formula>
    </cfRule>
  </conditionalFormatting>
  <conditionalFormatting sqref="I51">
    <cfRule type="expression" dxfId="186" priority="23">
      <formula>I51&lt;&gt;J51</formula>
    </cfRule>
  </conditionalFormatting>
  <conditionalFormatting sqref="I55">
    <cfRule type="expression" dxfId="185" priority="24">
      <formula>I55&lt;&gt;J55</formula>
    </cfRule>
  </conditionalFormatting>
  <conditionalFormatting sqref="M12">
    <cfRule type="expression" dxfId="184" priority="25">
      <formula>AND(OR((L12)&gt;2,(L12)&lt;-2),(L12)&lt;&gt;"-",OR((K12)&gt;750,(K12)&lt;-750))</formula>
    </cfRule>
  </conditionalFormatting>
  <conditionalFormatting sqref="M20">
    <cfRule type="expression" dxfId="183" priority="26">
      <formula>AND(OR((L20)&gt;2,(L20)&lt;-2),(L20)&lt;&gt;"-",OR((K20)&gt;750,(K20)&lt;-750))</formula>
    </cfRule>
  </conditionalFormatting>
  <conditionalFormatting sqref="M22:M27">
    <cfRule type="expression" dxfId="182" priority="27">
      <formula>AND(OR((L22)&gt;2,(L22)&lt;-2),(L22)&lt;&gt;"-",OR((K22)&gt;750,(K22)&lt;-750))</formula>
    </cfRule>
  </conditionalFormatting>
  <conditionalFormatting sqref="I9">
    <cfRule type="expression" dxfId="181" priority="28">
      <formula>I9&lt;&gt;J9</formula>
    </cfRule>
  </conditionalFormatting>
  <conditionalFormatting sqref="I18">
    <cfRule type="expression" dxfId="180" priority="29">
      <formula>I18&lt;&gt;J18</formula>
    </cfRule>
  </conditionalFormatting>
  <conditionalFormatting sqref="I25">
    <cfRule type="expression" dxfId="179" priority="30">
      <formula>I25&lt;&gt;J25</formula>
    </cfRule>
  </conditionalFormatting>
  <conditionalFormatting sqref="I26">
    <cfRule type="expression" dxfId="178" priority="31">
      <formula>I26&lt;&gt;J26</formula>
    </cfRule>
  </conditionalFormatting>
  <conditionalFormatting sqref="I32">
    <cfRule type="expression" dxfId="177" priority="32">
      <formula>I32&lt;&gt;J32</formula>
    </cfRule>
  </conditionalFormatting>
  <conditionalFormatting sqref="I33">
    <cfRule type="expression" dxfId="176" priority="33">
      <formula>I33&lt;&gt;J33</formula>
    </cfRule>
  </conditionalFormatting>
  <conditionalFormatting sqref="M36">
    <cfRule type="expression" dxfId="175" priority="34">
      <formula>AND(OR((L36)&gt;2,(L36)&lt;-2),(L36)&lt;&gt;"-",OR((K36)&gt;750,(K36)&lt;-750))</formula>
    </cfRule>
  </conditionalFormatting>
  <conditionalFormatting sqref="M32:M34">
    <cfRule type="expression" dxfId="174" priority="35">
      <formula>AND(OR((L32)&gt;2,(L32)&lt;-2),(L32)&lt;&gt;"-",OR((K32)&gt;750,(K32)&lt;-750))</formula>
    </cfRule>
  </conditionalFormatting>
  <conditionalFormatting sqref="M29">
    <cfRule type="expression" dxfId="173" priority="36">
      <formula>AND(OR((L29)&gt;2,(L29)&lt;-2),(L29)&lt;&gt;"-",OR((K29)&gt;750,(K29)&lt;-750))</formula>
    </cfRule>
  </conditionalFormatting>
  <dataValidations count="30">
    <dataValidation type="whole" operator="greaterThan" allowBlank="1" showInputMessage="1" showErrorMessage="1" errorTitle="Whole numbers only allowed" error="All monies should be independently rounded to the nearest £1,000." sqref="H9:I9">
      <formula1>-99999999</formula1>
    </dataValidation>
    <dataValidation type="whole" operator="greaterThan" allowBlank="1" showInputMessage="1" showErrorMessage="1" errorTitle="Whole numbers only allowed" error="All monies should be independently rounded to the nearest £1,000." sqref="H46:J52">
      <formula1>-99999999</formula1>
    </dataValidation>
    <dataValidation type="whole" operator="greaterThan" allowBlank="1" showInputMessage="1" showErrorMessage="1" errorTitle="Whole numbers only allowed" error="All monies should be independently rounded to the nearest £1,000." sqref="H55:J56">
      <formula1>-99999999</formula1>
    </dataValidation>
    <dataValidation type="whole" operator="greaterThan" allowBlank="1" showInputMessage="1" showErrorMessage="1" errorTitle="Whole numbers only allowed" error="All monies should be independently rounded to the nearest £1,000." sqref="H18:I18">
      <formula1>-99999999</formula1>
    </dataValidation>
    <dataValidation type="whole" operator="greaterThan" allowBlank="1" showInputMessage="1" showErrorMessage="1" errorTitle="Whole numbers only allowed" error="All monies should be independently rounded to the nearest £1,000." sqref="J38:J41">
      <formula1>-99999999</formula1>
    </dataValidation>
    <dataValidation type="whole" operator="greaterThan" allowBlank="1" showInputMessage="1" showErrorMessage="1" errorTitle="Whole numbers only allowed" error="All monies should be independently rounded to the nearest £1,000." sqref="H38:I40">
      <formula1>-99999999</formula1>
    </dataValidation>
    <dataValidation type="whole" operator="greaterThan" allowBlank="1" showInputMessage="1" showErrorMessage="1" errorTitle="Whole numbers only allowed" error="All monies should be independently rounded to the nearest £1,000." sqref="H24:J27">
      <formula1>-99999999</formula1>
    </dataValidation>
    <dataValidation type="whole" operator="greaterThan" allowBlank="1" showInputMessage="1" showErrorMessage="1" errorTitle="Whole numbers only allowed" error="All monies should be independently rounded to the nearest £1,000." sqref="I15:I17">
      <formula1>-99999999</formula1>
    </dataValidation>
    <dataValidation type="whole" operator="greaterThan" allowBlank="1" showInputMessage="1" showErrorMessage="1" errorTitle="Whole numbers only allowed" error="All monies should be independently rounded to the nearest £1,000." sqref="I19">
      <formula1>-99999999</formula1>
    </dataValidation>
    <dataValidation type="whole" operator="greaterThan" allowBlank="1" showInputMessage="1" showErrorMessage="1" errorTitle="Whole numbers only allowed" error="All monies should be independently rounded to the nearest £1,000." sqref="J6:J11">
      <formula1>-99999999</formula1>
    </dataValidation>
    <dataValidation type="whole" operator="greaterThan" allowBlank="1" showInputMessage="1" showErrorMessage="1" errorTitle="Whole numbers only allowed" error="All monies should be independently rounded to the nearest £1,000." sqref="I6:I8">
      <formula1>-99999999</formula1>
    </dataValidation>
    <dataValidation type="whole" operator="greaterThan" allowBlank="1" showInputMessage="1" showErrorMessage="1" errorTitle="Whole numbers only allowed" error="All monies should be independently rounded to the nearest £1,000." sqref="I10:I11">
      <formula1>-99999999</formula1>
    </dataValidation>
    <dataValidation type="whole" operator="greaterThan" allowBlank="1" showInputMessage="1" showErrorMessage="1" errorTitle="Whole numbers only allowed" error="All monies should be independently rounded to the nearest £1,000." sqref="J15:J19">
      <formula1>-99999999</formula1>
    </dataValidation>
    <dataValidation type="whole" operator="greaterThan" allowBlank="1" showInputMessage="1" showErrorMessage="1" errorTitle="Whole numbers only allowed" error="All monies should be independently rounded to the nearest £1,000." sqref="H31:H34">
      <formula1>-99999999</formula1>
    </dataValidation>
    <dataValidation type="whole" operator="greaterThan" allowBlank="1" showInputMessage="1" showErrorMessage="1" errorTitle="Whole numbers only allowed" error="All monies should be independently rounded to the nearest £1,000." sqref="J31:J34">
      <formula1>-99999999</formula1>
    </dataValidation>
    <dataValidation type="whole" operator="greaterThan" allowBlank="1" showInputMessage="1" showErrorMessage="1" errorTitle="Whole numbers only allowed" error="All monies should be independently rounded to the nearest £1,000." sqref="I31:I32">
      <formula1>-99999999</formula1>
    </dataValidation>
    <dataValidation type="whole" operator="greaterThan" allowBlank="1" showInputMessage="1" showErrorMessage="1" errorTitle="Whole numbers only allowed" error="All monies should be independently rounded to the nearest £1,000." sqref="I34">
      <formula1>-99999999</formula1>
    </dataValidation>
    <dataValidation type="whole" operator="greaterThan" allowBlank="1" showInputMessage="1" showErrorMessage="1" errorTitle="Whole numbers only allowed" error="All monies should be independently rounded to the nearest £1,000." sqref="I33">
      <formula1>-99999999</formula1>
    </dataValidation>
    <dataValidation type="textLength" allowBlank="1" showInputMessage="1" showErrorMessage="1" errorTitle="Maximum 255 text characters" error="Only text up to 255 characters is allowed here." promptTitle="Maximum 255 text characters" prompt=" " sqref="M41">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M42)" sqref="H41">
      <formula1>-99999999</formula1>
    </dataValidation>
    <dataValidation type="whole" operator="greaterThan" allowBlank="1" showInputMessage="1" showErrorMessage="1" errorTitle="Whole numbers only allowed" error="All monies should be independently rounded to the nearest £1,000." sqref="I41">
      <formula1>-9999999</formula1>
    </dataValidation>
    <dataValidation type="whole" operator="greaterThan" allowBlank="1" showInputMessage="1" showErrorMessage="1" errorTitle="Whole numbers only allowed" error="All monies should be independently rounded to the nearest £1,000." sqref="H6">
      <formula1>-999999999</formula1>
    </dataValidation>
    <dataValidation type="whole" operator="greaterThan" allowBlank="1" showInputMessage="1" showErrorMessage="1" errorTitle="Whole numbers only allowed" error="All monies should be independently rounded to the nearest £1,000." sqref="H7">
      <formula1>-999999999</formula1>
    </dataValidation>
    <dataValidation type="whole" operator="greaterThan" allowBlank="1" showInputMessage="1" showErrorMessage="1" errorTitle="Whole numbers only allowed" error="All monies should be independently rounded to the nearest £1,000." sqref="H8">
      <formula1>-999999999</formula1>
    </dataValidation>
    <dataValidation type="whole" operator="greaterThan" allowBlank="1" showInputMessage="1" showErrorMessage="1" errorTitle="Whole numbers only allowed" error="All monies should be independently rounded to the nearest £1,000." sqref="H10">
      <formula1>-999999999</formula1>
    </dataValidation>
    <dataValidation type="whole" operator="greaterThan" allowBlank="1" showInputMessage="1" showErrorMessage="1" errorTitle="Whole numbers only allowed" error="All monies should be independently rounded to the nearest £1,000." sqref="H11">
      <formula1>-999999999</formula1>
    </dataValidation>
    <dataValidation type="whole" operator="greaterThan" allowBlank="1" showInputMessage="1" showErrorMessage="1" errorTitle="Whole numbers only allowed" error="All monies should be independently rounded to the nearest £1,000." sqref="H15">
      <formula1>-999999999</formula1>
    </dataValidation>
    <dataValidation type="whole" operator="greaterThan" allowBlank="1" showInputMessage="1" showErrorMessage="1" errorTitle="Whole numbers only allowed" error="All monies should be independently rounded to the nearest £1,000." sqref="H16">
      <formula1>-999999999</formula1>
    </dataValidation>
    <dataValidation type="whole" operator="greaterThan" allowBlank="1" showInputMessage="1" showErrorMessage="1" errorTitle="Whole numbers only allowed" error="All monies should be independently rounded to the nearest £1,000." sqref="H17">
      <formula1>-999999999</formula1>
    </dataValidation>
    <dataValidation type="whole" operator="greaterThan" allowBlank="1" showInputMessage="1" showErrorMessage="1" errorTitle="Whole numbers only allowed" error="All monies should be independently rounded to the nearest £1,000." sqref="H19">
      <formula1>-999999999</formula1>
    </dataValidation>
  </dataValidations>
  <printOptions headings="1" gridLines="1"/>
  <pageMargins left="0.11811023622047245" right="0.11811023622047245" top="0.35433070866141736" bottom="0.35433070866141736" header="0.11811023622047245" footer="0.11811023622047245"/>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M15:M20 M6:M12 M22:M27 M29 M32:M34 M36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24"/>
  <sheetViews>
    <sheetView zoomScale="90" zoomScaleNormal="90" workbookViewId="0">
      <selection activeCell="H18" sqref="H18:J21"/>
    </sheetView>
  </sheetViews>
  <sheetFormatPr defaultColWidth="9.140625" defaultRowHeight="12.75" x14ac:dyDescent="0.2"/>
  <cols>
    <col min="1" max="1" width="9.85546875" style="199" customWidth="1"/>
    <col min="2" max="2" width="1.5703125" style="224" customWidth="1"/>
    <col min="3" max="3" width="0.85546875" style="224" customWidth="1"/>
    <col min="4" max="4" width="61.85546875" style="224" bestFit="1" customWidth="1"/>
    <col min="5" max="5" width="2.140625" style="224" hidden="1" customWidth="1"/>
    <col min="6" max="6" width="2.85546875" style="224" hidden="1" customWidth="1"/>
    <col min="7" max="7" width="3.85546875" style="224" hidden="1" customWidth="1"/>
    <col min="8" max="8" width="15.28515625" style="143" customWidth="1"/>
    <col min="9" max="9" width="13.85546875" style="143" customWidth="1"/>
    <col min="10" max="10" width="16.28515625" style="143" customWidth="1"/>
    <col min="11" max="11" width="15.7109375" style="143" customWidth="1"/>
    <col min="12" max="12" width="15.5703125" style="176" customWidth="1"/>
    <col min="13" max="13" width="14.28515625" style="143" customWidth="1"/>
    <col min="14" max="14" width="11.28515625" style="143" customWidth="1"/>
    <col min="15" max="15" width="9.140625" style="143" customWidth="1"/>
    <col min="16" max="16" width="10.7109375" style="143" hidden="1" customWidth="1"/>
    <col min="17" max="17" width="3.28515625" style="143" hidden="1" customWidth="1"/>
    <col min="18" max="18" width="3.140625" style="143" hidden="1" customWidth="1"/>
    <col min="19" max="19" width="61.28515625" style="143" hidden="1" customWidth="1"/>
    <col min="20" max="21" width="1.7109375" style="143" hidden="1" customWidth="1"/>
    <col min="22" max="22" width="1.28515625" style="143" hidden="1" customWidth="1"/>
    <col min="23" max="29" width="1.85546875" style="143" hidden="1" customWidth="1"/>
    <col min="30" max="30" width="9.140625" style="143" customWidth="1"/>
    <col min="31" max="16384" width="9.140625" style="143"/>
  </cols>
  <sheetData>
    <row r="1" spans="1:29" customFormat="1" ht="32.25" customHeight="1" x14ac:dyDescent="0.25">
      <c r="A1" s="200" t="s">
        <v>689</v>
      </c>
      <c r="B1" s="619" t="s">
        <v>690</v>
      </c>
      <c r="C1" s="619"/>
      <c r="D1" s="619"/>
      <c r="E1" s="201"/>
      <c r="F1" s="201"/>
      <c r="G1" s="201"/>
      <c r="H1" s="622" t="s">
        <v>610</v>
      </c>
      <c r="I1" s="623"/>
      <c r="J1" s="623"/>
      <c r="K1" s="623"/>
      <c r="L1" s="623"/>
      <c r="M1" s="623"/>
      <c r="N1" s="624"/>
      <c r="O1" s="202"/>
    </row>
    <row r="2" spans="1:29" customFormat="1" ht="16.5" customHeight="1" x14ac:dyDescent="0.25">
      <c r="A2" s="203"/>
      <c r="B2" s="204"/>
      <c r="C2" s="204"/>
      <c r="D2" s="204"/>
      <c r="E2" s="148"/>
      <c r="F2" s="148"/>
      <c r="G2" s="148"/>
      <c r="H2" s="625"/>
      <c r="I2" s="625"/>
      <c r="J2" s="625"/>
      <c r="K2" s="625"/>
      <c r="L2" s="625"/>
      <c r="M2" s="625"/>
      <c r="N2" s="626"/>
      <c r="O2" s="202"/>
    </row>
    <row r="3" spans="1:29" customFormat="1" ht="45" customHeight="1" x14ac:dyDescent="0.25">
      <c r="A3" s="205"/>
      <c r="B3" s="206"/>
      <c r="C3" s="206"/>
      <c r="D3" s="206"/>
      <c r="E3" s="206"/>
      <c r="F3" s="206"/>
      <c r="G3" s="207"/>
      <c r="H3" s="629" t="s">
        <v>691</v>
      </c>
      <c r="I3" s="629"/>
      <c r="J3" s="629"/>
      <c r="K3" s="208" t="s">
        <v>692</v>
      </c>
      <c r="L3" s="208" t="s">
        <v>693</v>
      </c>
      <c r="M3" s="208" t="s">
        <v>694</v>
      </c>
      <c r="N3" s="209" t="s">
        <v>682</v>
      </c>
      <c r="O3" s="176"/>
    </row>
    <row r="4" spans="1:29" customFormat="1" ht="15" customHeight="1" x14ac:dyDescent="0.25">
      <c r="A4" s="205"/>
      <c r="B4" s="206"/>
      <c r="C4" s="206"/>
      <c r="D4" s="206"/>
      <c r="E4" s="206"/>
      <c r="F4" s="206"/>
      <c r="G4" s="207"/>
      <c r="H4" s="210" t="s">
        <v>695</v>
      </c>
      <c r="I4" s="210" t="s">
        <v>696</v>
      </c>
      <c r="J4" s="210" t="s">
        <v>697</v>
      </c>
      <c r="K4" s="211"/>
      <c r="L4" s="211"/>
      <c r="M4" s="211"/>
      <c r="N4" s="211"/>
      <c r="O4" s="176"/>
    </row>
    <row r="5" spans="1:29" customFormat="1" ht="15.4" customHeight="1" x14ac:dyDescent="0.25">
      <c r="A5" s="205"/>
      <c r="B5" s="212"/>
      <c r="C5" s="212"/>
      <c r="D5" s="212"/>
      <c r="E5" s="212"/>
      <c r="F5" s="212"/>
      <c r="G5" s="213"/>
      <c r="H5" s="214" t="s">
        <v>616</v>
      </c>
      <c r="I5" s="214" t="s">
        <v>616</v>
      </c>
      <c r="J5" s="214" t="s">
        <v>616</v>
      </c>
      <c r="K5" s="214" t="s">
        <v>616</v>
      </c>
      <c r="L5" s="214" t="s">
        <v>616</v>
      </c>
      <c r="M5" s="214" t="s">
        <v>616</v>
      </c>
      <c r="N5" s="214" t="s">
        <v>616</v>
      </c>
      <c r="O5" s="176"/>
    </row>
    <row r="6" spans="1:29" s="225" customFormat="1" ht="15.4" customHeight="1" x14ac:dyDescent="0.25">
      <c r="A6" s="215">
        <v>1</v>
      </c>
      <c r="B6" s="630" t="s">
        <v>698</v>
      </c>
      <c r="C6" s="631"/>
      <c r="D6" s="631"/>
      <c r="E6" s="216"/>
      <c r="F6" s="216"/>
      <c r="G6" s="22"/>
      <c r="H6" s="23">
        <v>342796</v>
      </c>
      <c r="I6" s="23">
        <v>40988</v>
      </c>
      <c r="J6" s="23">
        <v>1329063</v>
      </c>
      <c r="K6" s="23">
        <v>207780</v>
      </c>
      <c r="L6" s="24">
        <f>SUM(H6:K6)</f>
        <v>1920627</v>
      </c>
      <c r="M6" s="23">
        <v>0</v>
      </c>
      <c r="N6" s="24">
        <f>SUM(L6:M6)</f>
        <v>1920627</v>
      </c>
      <c r="P6" s="215">
        <v>1</v>
      </c>
      <c r="Q6" s="632" t="s">
        <v>698</v>
      </c>
      <c r="R6" s="633"/>
      <c r="S6" s="633"/>
      <c r="T6" s="216"/>
      <c r="U6" s="216"/>
      <c r="V6" s="22"/>
      <c r="W6" s="25">
        <v>342796</v>
      </c>
      <c r="X6" s="25">
        <v>40988</v>
      </c>
      <c r="Y6" s="25">
        <v>1329063</v>
      </c>
      <c r="Z6" s="25">
        <v>207780</v>
      </c>
      <c r="AA6" s="24">
        <v>1920627</v>
      </c>
      <c r="AB6" s="25">
        <v>0</v>
      </c>
      <c r="AC6" s="24">
        <v>1920627</v>
      </c>
    </row>
    <row r="7" spans="1:29" s="225" customFormat="1" ht="15.4" customHeight="1" x14ac:dyDescent="0.25">
      <c r="A7" s="215"/>
      <c r="B7" s="26"/>
      <c r="C7" s="216"/>
      <c r="D7" s="216"/>
      <c r="E7" s="216"/>
      <c r="F7" s="216"/>
      <c r="G7" s="22"/>
      <c r="H7" s="27"/>
      <c r="I7" s="27"/>
      <c r="J7" s="27"/>
      <c r="K7" s="28"/>
      <c r="L7" s="27"/>
      <c r="M7" s="27"/>
      <c r="N7" s="27"/>
      <c r="P7" s="215"/>
      <c r="Q7" s="35"/>
      <c r="R7" s="217"/>
      <c r="S7" s="217"/>
      <c r="T7" s="216"/>
      <c r="U7" s="216"/>
      <c r="V7" s="22"/>
      <c r="W7" s="27"/>
      <c r="X7" s="27"/>
      <c r="Y7" s="27"/>
      <c r="Z7" s="28"/>
      <c r="AA7" s="27"/>
      <c r="AB7" s="27"/>
      <c r="AC7" s="27"/>
    </row>
    <row r="8" spans="1:29" s="225" customFormat="1" ht="15.4" customHeight="1" x14ac:dyDescent="0.25">
      <c r="A8" s="215">
        <v>2</v>
      </c>
      <c r="B8" s="630" t="s">
        <v>699</v>
      </c>
      <c r="C8" s="631"/>
      <c r="D8" s="631"/>
      <c r="E8" s="216"/>
      <c r="F8" s="216"/>
      <c r="G8" s="22"/>
      <c r="H8" s="27"/>
      <c r="I8" s="27"/>
      <c r="J8" s="27"/>
      <c r="K8" s="28"/>
      <c r="L8" s="27"/>
      <c r="M8" s="27"/>
      <c r="N8" s="27"/>
      <c r="P8" s="215">
        <v>2</v>
      </c>
      <c r="Q8" s="632" t="s">
        <v>699</v>
      </c>
      <c r="R8" s="633"/>
      <c r="S8" s="633"/>
      <c r="T8" s="216"/>
      <c r="U8" s="216"/>
      <c r="V8" s="22"/>
      <c r="W8" s="27"/>
      <c r="X8" s="27"/>
      <c r="Y8" s="27"/>
      <c r="Z8" s="28"/>
      <c r="AA8" s="27"/>
      <c r="AB8" s="27"/>
      <c r="AC8" s="27"/>
    </row>
    <row r="9" spans="1:29" s="225" customFormat="1" ht="15" customHeight="1" x14ac:dyDescent="0.2">
      <c r="A9" s="215" t="s">
        <v>636</v>
      </c>
      <c r="B9" s="29"/>
      <c r="C9" s="216"/>
      <c r="D9" s="30" t="s">
        <v>700</v>
      </c>
      <c r="E9" s="216"/>
      <c r="F9" s="216"/>
      <c r="G9" s="31"/>
      <c r="H9" s="23">
        <v>49325</v>
      </c>
      <c r="I9" s="23">
        <v>33562</v>
      </c>
      <c r="J9" s="23">
        <v>47554</v>
      </c>
      <c r="K9" s="23">
        <v>0</v>
      </c>
      <c r="L9" s="24">
        <f>SUM(H9:K9)</f>
        <v>130441</v>
      </c>
      <c r="M9" s="23">
        <v>0</v>
      </c>
      <c r="N9" s="24">
        <f>SUM(L9:M9)</f>
        <v>130441</v>
      </c>
      <c r="P9" s="215" t="s">
        <v>636</v>
      </c>
      <c r="Q9" s="36"/>
      <c r="R9" s="217"/>
      <c r="S9" s="37" t="s">
        <v>700</v>
      </c>
      <c r="T9" s="216"/>
      <c r="U9" s="216"/>
      <c r="V9" s="31"/>
      <c r="W9" s="25">
        <v>49325</v>
      </c>
      <c r="X9" s="25">
        <v>33562</v>
      </c>
      <c r="Y9" s="25">
        <v>47554</v>
      </c>
      <c r="Z9" s="25">
        <v>0</v>
      </c>
      <c r="AA9" s="24">
        <v>130441</v>
      </c>
      <c r="AB9" s="25">
        <v>0</v>
      </c>
      <c r="AC9" s="24">
        <v>130441</v>
      </c>
    </row>
    <row r="10" spans="1:29" s="225" customFormat="1" ht="15" customHeight="1" x14ac:dyDescent="0.2">
      <c r="A10" s="215" t="s">
        <v>638</v>
      </c>
      <c r="B10" s="29"/>
      <c r="C10" s="216"/>
      <c r="D10" s="30" t="s">
        <v>701</v>
      </c>
      <c r="E10" s="216"/>
      <c r="F10" s="216"/>
      <c r="G10" s="31"/>
      <c r="H10" s="23">
        <v>0</v>
      </c>
      <c r="I10" s="23">
        <v>0</v>
      </c>
      <c r="J10" s="23">
        <v>-5129</v>
      </c>
      <c r="K10" s="23">
        <v>0</v>
      </c>
      <c r="L10" s="24">
        <f>SUM(H10:K10)</f>
        <v>-5129</v>
      </c>
      <c r="M10" s="23">
        <v>0</v>
      </c>
      <c r="N10" s="24">
        <f>SUM(L10:M10)</f>
        <v>-5129</v>
      </c>
      <c r="P10" s="215" t="s">
        <v>638</v>
      </c>
      <c r="Q10" s="36"/>
      <c r="R10" s="217"/>
      <c r="S10" s="37" t="s">
        <v>701</v>
      </c>
      <c r="T10" s="216"/>
      <c r="U10" s="216"/>
      <c r="V10" s="31"/>
      <c r="W10" s="25">
        <v>0</v>
      </c>
      <c r="X10" s="25">
        <v>0</v>
      </c>
      <c r="Y10" s="25">
        <v>-5129</v>
      </c>
      <c r="Z10" s="25">
        <v>0</v>
      </c>
      <c r="AA10" s="24">
        <v>-5129</v>
      </c>
      <c r="AB10" s="25">
        <v>0</v>
      </c>
      <c r="AC10" s="24">
        <v>-5129</v>
      </c>
    </row>
    <row r="11" spans="1:29" s="225" customFormat="1" ht="15" customHeight="1" x14ac:dyDescent="0.2">
      <c r="A11" s="215" t="s">
        <v>640</v>
      </c>
      <c r="B11" s="29"/>
      <c r="C11" s="216"/>
      <c r="D11" s="30" t="s">
        <v>702</v>
      </c>
      <c r="E11" s="216"/>
      <c r="F11" s="216"/>
      <c r="G11" s="31"/>
      <c r="H11" s="23">
        <v>0</v>
      </c>
      <c r="I11" s="23">
        <v>0</v>
      </c>
      <c r="J11" s="23">
        <v>0</v>
      </c>
      <c r="K11" s="23">
        <v>0</v>
      </c>
      <c r="L11" s="24">
        <f>SUM(H11:K11)</f>
        <v>0</v>
      </c>
      <c r="M11" s="23">
        <v>0</v>
      </c>
      <c r="N11" s="24">
        <f>SUM(L11:M11)</f>
        <v>0</v>
      </c>
      <c r="P11" s="215" t="s">
        <v>640</v>
      </c>
      <c r="Q11" s="36"/>
      <c r="R11" s="217"/>
      <c r="S11" s="37" t="s">
        <v>702</v>
      </c>
      <c r="T11" s="216"/>
      <c r="U11" s="216"/>
      <c r="V11" s="31"/>
      <c r="W11" s="25">
        <v>0</v>
      </c>
      <c r="X11" s="25">
        <v>0</v>
      </c>
      <c r="Y11" s="25">
        <v>0</v>
      </c>
      <c r="Z11" s="25">
        <v>0</v>
      </c>
      <c r="AA11" s="24">
        <v>0</v>
      </c>
      <c r="AB11" s="25">
        <v>0</v>
      </c>
      <c r="AC11" s="24">
        <v>0</v>
      </c>
    </row>
    <row r="12" spans="1:29" s="225" customFormat="1" ht="15" customHeight="1" x14ac:dyDescent="0.2">
      <c r="A12" s="215" t="s">
        <v>642</v>
      </c>
      <c r="B12" s="29"/>
      <c r="C12" s="216"/>
      <c r="D12" s="30" t="s">
        <v>703</v>
      </c>
      <c r="E12" s="216"/>
      <c r="F12" s="216"/>
      <c r="G12" s="31"/>
      <c r="H12" s="23">
        <v>0</v>
      </c>
      <c r="I12" s="23">
        <v>-26357</v>
      </c>
      <c r="J12" s="23">
        <v>26357</v>
      </c>
      <c r="K12" s="23">
        <v>0</v>
      </c>
      <c r="L12" s="24">
        <f>SUM(H12:K12)</f>
        <v>0</v>
      </c>
      <c r="M12" s="23">
        <v>0</v>
      </c>
      <c r="N12" s="24">
        <f>SUM(L12:M12)</f>
        <v>0</v>
      </c>
      <c r="P12" s="215" t="s">
        <v>642</v>
      </c>
      <c r="Q12" s="36"/>
      <c r="R12" s="217"/>
      <c r="S12" s="37" t="s">
        <v>703</v>
      </c>
      <c r="T12" s="216"/>
      <c r="U12" s="216"/>
      <c r="V12" s="31"/>
      <c r="W12" s="25">
        <v>0</v>
      </c>
      <c r="X12" s="25">
        <v>-26357</v>
      </c>
      <c r="Y12" s="25">
        <v>26357</v>
      </c>
      <c r="Z12" s="25">
        <v>0</v>
      </c>
      <c r="AA12" s="24">
        <v>0</v>
      </c>
      <c r="AB12" s="25">
        <v>0</v>
      </c>
      <c r="AC12" s="24">
        <v>0</v>
      </c>
    </row>
    <row r="13" spans="1:29" s="225" customFormat="1" ht="15.4" customHeight="1" x14ac:dyDescent="0.25">
      <c r="A13" s="215" t="s">
        <v>644</v>
      </c>
      <c r="B13" s="218"/>
      <c r="C13" s="628" t="s">
        <v>704</v>
      </c>
      <c r="D13" s="628"/>
      <c r="E13" s="219"/>
      <c r="F13" s="219"/>
      <c r="G13" s="220"/>
      <c r="H13" s="221">
        <f t="shared" ref="H13:N13" si="0">SUM(H9:H12)</f>
        <v>49325</v>
      </c>
      <c r="I13" s="221">
        <f t="shared" si="0"/>
        <v>7205</v>
      </c>
      <c r="J13" s="221">
        <f t="shared" si="0"/>
        <v>68782</v>
      </c>
      <c r="K13" s="221">
        <f t="shared" si="0"/>
        <v>0</v>
      </c>
      <c r="L13" s="221">
        <f t="shared" si="0"/>
        <v>125312</v>
      </c>
      <c r="M13" s="221">
        <f t="shared" si="0"/>
        <v>0</v>
      </c>
      <c r="N13" s="221">
        <f t="shared" si="0"/>
        <v>125312</v>
      </c>
      <c r="P13" s="215" t="s">
        <v>644</v>
      </c>
      <c r="Q13" s="222"/>
      <c r="R13" s="634" t="s">
        <v>704</v>
      </c>
      <c r="S13" s="634"/>
      <c r="T13" s="219"/>
      <c r="U13" s="219"/>
      <c r="V13" s="220"/>
      <c r="W13" s="221">
        <f t="shared" ref="W13:AC13" si="1">SUM(W9:W12)</f>
        <v>49325</v>
      </c>
      <c r="X13" s="221">
        <f t="shared" si="1"/>
        <v>7205</v>
      </c>
      <c r="Y13" s="221">
        <f t="shared" si="1"/>
        <v>68782</v>
      </c>
      <c r="Z13" s="221">
        <f t="shared" si="1"/>
        <v>0</v>
      </c>
      <c r="AA13" s="221">
        <f t="shared" si="1"/>
        <v>125312</v>
      </c>
      <c r="AB13" s="221">
        <f t="shared" si="1"/>
        <v>0</v>
      </c>
      <c r="AC13" s="221">
        <f t="shared" si="1"/>
        <v>125312</v>
      </c>
    </row>
    <row r="14" spans="1:29" s="225" customFormat="1" x14ac:dyDescent="0.2">
      <c r="A14" s="215"/>
      <c r="B14" s="26"/>
      <c r="C14" s="216"/>
      <c r="D14" s="216"/>
      <c r="E14" s="216"/>
      <c r="F14" s="216"/>
      <c r="G14" s="22"/>
      <c r="H14" s="27"/>
      <c r="I14" s="27"/>
      <c r="J14" s="27"/>
      <c r="K14" s="27"/>
      <c r="L14" s="27"/>
      <c r="M14" s="27"/>
      <c r="N14" s="27"/>
    </row>
    <row r="15" spans="1:29" s="225" customFormat="1" x14ac:dyDescent="0.2">
      <c r="A15" s="215">
        <v>3</v>
      </c>
      <c r="B15" s="627" t="s">
        <v>705</v>
      </c>
      <c r="C15" s="628"/>
      <c r="D15" s="628"/>
      <c r="E15" s="223"/>
      <c r="F15" s="223"/>
      <c r="G15" s="220"/>
      <c r="H15" s="221">
        <f>H6+H13</f>
        <v>392121</v>
      </c>
      <c r="I15" s="221">
        <f>I6+I13</f>
        <v>48193</v>
      </c>
      <c r="J15" s="221">
        <f>J6+J13</f>
        <v>1397845</v>
      </c>
      <c r="K15" s="221">
        <f>K6+K13</f>
        <v>207780</v>
      </c>
      <c r="L15" s="221">
        <f>SUM(H15:K15)</f>
        <v>2045939</v>
      </c>
      <c r="M15" s="221">
        <f>M6+M13</f>
        <v>0</v>
      </c>
      <c r="N15" s="221">
        <f>SUM(L15:M15)</f>
        <v>2045939</v>
      </c>
    </row>
    <row r="16" spans="1:29" s="225" customFormat="1" x14ac:dyDescent="0.2">
      <c r="A16" s="215"/>
      <c r="B16" s="26"/>
      <c r="C16" s="216"/>
      <c r="D16" s="216"/>
      <c r="E16" s="216"/>
      <c r="F16" s="216"/>
      <c r="G16" s="22"/>
      <c r="H16" s="27"/>
      <c r="I16" s="27"/>
      <c r="J16" s="27"/>
      <c r="K16" s="28"/>
      <c r="L16" s="27"/>
      <c r="M16" s="28"/>
      <c r="N16" s="27"/>
    </row>
    <row r="17" spans="1:14" s="225" customFormat="1" x14ac:dyDescent="0.2">
      <c r="A17" s="215">
        <v>4</v>
      </c>
      <c r="B17" s="630" t="s">
        <v>706</v>
      </c>
      <c r="C17" s="631"/>
      <c r="D17" s="631"/>
      <c r="E17" s="216"/>
      <c r="F17" s="216"/>
      <c r="G17" s="22"/>
      <c r="H17" s="27"/>
      <c r="I17" s="27"/>
      <c r="J17" s="27"/>
      <c r="K17" s="28"/>
      <c r="L17" s="27"/>
      <c r="M17" s="27"/>
      <c r="N17" s="27"/>
    </row>
    <row r="18" spans="1:14" s="225" customFormat="1" x14ac:dyDescent="0.2">
      <c r="A18" s="215" t="s">
        <v>707</v>
      </c>
      <c r="B18" s="29"/>
      <c r="C18" s="216"/>
      <c r="D18" s="30" t="s">
        <v>700</v>
      </c>
      <c r="E18" s="216"/>
      <c r="F18" s="216"/>
      <c r="G18" s="31"/>
      <c r="H18" s="23">
        <v>31983</v>
      </c>
      <c r="I18" s="23">
        <v>34938</v>
      </c>
      <c r="J18" s="23">
        <v>3057</v>
      </c>
      <c r="K18" s="23">
        <v>0</v>
      </c>
      <c r="L18" s="24">
        <f>SUM(H18:K18)</f>
        <v>69978</v>
      </c>
      <c r="M18" s="23">
        <v>0</v>
      </c>
      <c r="N18" s="24">
        <f>SUM(L18:M18)</f>
        <v>69978</v>
      </c>
    </row>
    <row r="19" spans="1:14" s="225" customFormat="1" x14ac:dyDescent="0.2">
      <c r="A19" s="215" t="s">
        <v>708</v>
      </c>
      <c r="B19" s="29"/>
      <c r="C19" s="216"/>
      <c r="D19" s="30" t="s">
        <v>701</v>
      </c>
      <c r="E19" s="216"/>
      <c r="F19" s="216"/>
      <c r="G19" s="31"/>
      <c r="H19" s="23">
        <v>0</v>
      </c>
      <c r="I19" s="23">
        <v>0</v>
      </c>
      <c r="J19" s="23">
        <v>100983</v>
      </c>
      <c r="K19" s="23">
        <v>0</v>
      </c>
      <c r="L19" s="24">
        <f>SUM(H19:K19)</f>
        <v>100983</v>
      </c>
      <c r="M19" s="23">
        <v>0</v>
      </c>
      <c r="N19" s="24">
        <f>SUM(L19:M19)</f>
        <v>100983</v>
      </c>
    </row>
    <row r="20" spans="1:14" s="225" customFormat="1" x14ac:dyDescent="0.2">
      <c r="A20" s="215" t="s">
        <v>709</v>
      </c>
      <c r="B20" s="29"/>
      <c r="C20" s="216"/>
      <c r="D20" s="30" t="s">
        <v>702</v>
      </c>
      <c r="E20" s="216"/>
      <c r="F20" s="216"/>
      <c r="G20" s="31"/>
      <c r="H20" s="23">
        <v>0</v>
      </c>
      <c r="I20" s="23">
        <v>-26228</v>
      </c>
      <c r="J20" s="23">
        <v>26228</v>
      </c>
      <c r="K20" s="23">
        <v>0</v>
      </c>
      <c r="L20" s="24">
        <f>SUM(H20:K20)</f>
        <v>0</v>
      </c>
      <c r="M20" s="23">
        <v>0</v>
      </c>
      <c r="N20" s="24">
        <f>SUM(L20:M20)</f>
        <v>0</v>
      </c>
    </row>
    <row r="21" spans="1:14" s="225" customFormat="1" x14ac:dyDescent="0.2">
      <c r="A21" s="215" t="s">
        <v>710</v>
      </c>
      <c r="B21" s="29"/>
      <c r="C21" s="216"/>
      <c r="D21" s="30" t="s">
        <v>703</v>
      </c>
      <c r="E21" s="216"/>
      <c r="F21" s="216"/>
      <c r="G21" s="31"/>
      <c r="H21" s="23">
        <v>0</v>
      </c>
      <c r="I21" s="23">
        <v>0</v>
      </c>
      <c r="J21" s="23">
        <v>0</v>
      </c>
      <c r="K21" s="23">
        <v>0</v>
      </c>
      <c r="L21" s="24">
        <f>SUM(H21:K21)</f>
        <v>0</v>
      </c>
      <c r="M21" s="23">
        <v>0</v>
      </c>
      <c r="N21" s="24">
        <f>SUM(L21:M21)</f>
        <v>0</v>
      </c>
    </row>
    <row r="22" spans="1:14" s="225" customFormat="1" x14ac:dyDescent="0.2">
      <c r="A22" s="215" t="s">
        <v>711</v>
      </c>
      <c r="B22" s="218"/>
      <c r="C22" s="628" t="s">
        <v>704</v>
      </c>
      <c r="D22" s="628"/>
      <c r="E22" s="219"/>
      <c r="F22" s="219"/>
      <c r="G22" s="220"/>
      <c r="H22" s="221">
        <f t="shared" ref="H22:N22" si="2">SUM(H18:H21)</f>
        <v>31983</v>
      </c>
      <c r="I22" s="221">
        <f t="shared" si="2"/>
        <v>8710</v>
      </c>
      <c r="J22" s="221">
        <f t="shared" si="2"/>
        <v>130268</v>
      </c>
      <c r="K22" s="221">
        <f t="shared" si="2"/>
        <v>0</v>
      </c>
      <c r="L22" s="221">
        <f t="shared" si="2"/>
        <v>170961</v>
      </c>
      <c r="M22" s="221">
        <f t="shared" si="2"/>
        <v>0</v>
      </c>
      <c r="N22" s="221">
        <f t="shared" si="2"/>
        <v>170961</v>
      </c>
    </row>
    <row r="23" spans="1:14" s="225" customFormat="1" x14ac:dyDescent="0.2">
      <c r="A23" s="215"/>
      <c r="B23" s="29"/>
      <c r="C23" s="216"/>
      <c r="D23" s="216"/>
      <c r="E23" s="216"/>
      <c r="F23" s="216"/>
      <c r="G23" s="31"/>
      <c r="H23" s="27"/>
      <c r="I23" s="27"/>
      <c r="J23" s="27"/>
      <c r="K23" s="27"/>
      <c r="L23" s="27"/>
      <c r="M23" s="27"/>
      <c r="N23" s="27"/>
    </row>
    <row r="24" spans="1:14" s="225" customFormat="1" x14ac:dyDescent="0.2">
      <c r="A24" s="215">
        <v>5</v>
      </c>
      <c r="B24" s="627" t="s">
        <v>712</v>
      </c>
      <c r="C24" s="628"/>
      <c r="D24" s="628"/>
      <c r="E24" s="219"/>
      <c r="F24" s="219"/>
      <c r="G24" s="220"/>
      <c r="H24" s="221">
        <f>H15+H22</f>
        <v>424104</v>
      </c>
      <c r="I24" s="221">
        <f>I15+I22</f>
        <v>56903</v>
      </c>
      <c r="J24" s="221">
        <f>J15+J22</f>
        <v>1528113</v>
      </c>
      <c r="K24" s="221">
        <f>K15+K22</f>
        <v>207780</v>
      </c>
      <c r="L24" s="221">
        <f>SUM(H24:K24)</f>
        <v>2216900</v>
      </c>
      <c r="M24" s="221">
        <f>M15+M22</f>
        <v>0</v>
      </c>
      <c r="N24" s="221">
        <f>SUM(L24:M24)</f>
        <v>2216900</v>
      </c>
    </row>
  </sheetData>
  <sheetProtection algorithmName="SHA-512" hashValue="jG5JpPE5bq4Sx5+9KUk0eqenoJNPIiKGqJxpOstE565YOvGeQMWnk18sV8KRbI6miUaAjS4fgvluhOMl1wOFHQ==" saltValue="iVTpx5Q9Til1fGh27mvTzA==" spinCount="100000" sheet="1" objects="1" scenarios="1"/>
  <mergeCells count="13">
    <mergeCell ref="Q6:S6"/>
    <mergeCell ref="Q8:S8"/>
    <mergeCell ref="R13:S13"/>
    <mergeCell ref="B17:D17"/>
    <mergeCell ref="C22:D22"/>
    <mergeCell ref="H1:N2"/>
    <mergeCell ref="B24:D24"/>
    <mergeCell ref="H3:J3"/>
    <mergeCell ref="B1:D1"/>
    <mergeCell ref="B6:D6"/>
    <mergeCell ref="B8:D8"/>
    <mergeCell ref="C13:D13"/>
    <mergeCell ref="B15:D15"/>
  </mergeCells>
  <conditionalFormatting sqref="H6">
    <cfRule type="expression" dxfId="172" priority="1">
      <formula>H6&lt;&gt;W6</formula>
    </cfRule>
  </conditionalFormatting>
  <conditionalFormatting sqref="I6">
    <cfRule type="expression" dxfId="171" priority="2">
      <formula>I6&lt;&gt;X6</formula>
    </cfRule>
  </conditionalFormatting>
  <conditionalFormatting sqref="J6">
    <cfRule type="expression" dxfId="170" priority="3">
      <formula>J6&lt;&gt;Y6</formula>
    </cfRule>
  </conditionalFormatting>
  <conditionalFormatting sqref="K6">
    <cfRule type="expression" dxfId="169" priority="4">
      <formula>K6&lt;&gt;Z6</formula>
    </cfRule>
  </conditionalFormatting>
  <conditionalFormatting sqref="M6">
    <cfRule type="expression" dxfId="168" priority="5">
      <formula>M6&lt;&gt;AB6</formula>
    </cfRule>
  </conditionalFormatting>
  <conditionalFormatting sqref="H9">
    <cfRule type="expression" dxfId="167" priority="6">
      <formula>H9&lt;&gt;W9</formula>
    </cfRule>
  </conditionalFormatting>
  <conditionalFormatting sqref="H10">
    <cfRule type="expression" dxfId="166" priority="7">
      <formula>H10&lt;&gt;W10</formula>
    </cfRule>
  </conditionalFormatting>
  <conditionalFormatting sqref="H11">
    <cfRule type="expression" dxfId="165" priority="8">
      <formula>H11&lt;&gt;W11</formula>
    </cfRule>
  </conditionalFormatting>
  <conditionalFormatting sqref="H12">
    <cfRule type="expression" dxfId="164" priority="9">
      <formula>H12&lt;&gt;W12</formula>
    </cfRule>
  </conditionalFormatting>
  <conditionalFormatting sqref="I9">
    <cfRule type="expression" dxfId="163" priority="10">
      <formula>I9&lt;&gt;X9</formula>
    </cfRule>
  </conditionalFormatting>
  <conditionalFormatting sqref="I10">
    <cfRule type="expression" dxfId="162" priority="11">
      <formula>I10&lt;&gt;X10</formula>
    </cfRule>
  </conditionalFormatting>
  <conditionalFormatting sqref="I11">
    <cfRule type="expression" dxfId="161" priority="12">
      <formula>I11&lt;&gt;X11</formula>
    </cfRule>
  </conditionalFormatting>
  <conditionalFormatting sqref="I12">
    <cfRule type="expression" dxfId="160" priority="13">
      <formula>I12&lt;&gt;X12</formula>
    </cfRule>
  </conditionalFormatting>
  <conditionalFormatting sqref="J9">
    <cfRule type="expression" dxfId="159" priority="14">
      <formula>J9&lt;&gt;Y9</formula>
    </cfRule>
  </conditionalFormatting>
  <conditionalFormatting sqref="J10">
    <cfRule type="expression" dxfId="158" priority="15">
      <formula>J10&lt;&gt;Y10</formula>
    </cfRule>
  </conditionalFormatting>
  <conditionalFormatting sqref="J11">
    <cfRule type="expression" dxfId="157" priority="16">
      <formula>J11&lt;&gt;Y11</formula>
    </cfRule>
  </conditionalFormatting>
  <conditionalFormatting sqref="J12">
    <cfRule type="expression" dxfId="156" priority="17">
      <formula>J12&lt;&gt;Y12</formula>
    </cfRule>
  </conditionalFormatting>
  <conditionalFormatting sqref="K9">
    <cfRule type="expression" dxfId="155" priority="18">
      <formula>K9&lt;&gt;Z9</formula>
    </cfRule>
  </conditionalFormatting>
  <conditionalFormatting sqref="K10">
    <cfRule type="expression" dxfId="154" priority="19">
      <formula>K10&lt;&gt;Z10</formula>
    </cfRule>
  </conditionalFormatting>
  <conditionalFormatting sqref="K11">
    <cfRule type="expression" dxfId="153" priority="20">
      <formula>K11&lt;&gt;Z11</formula>
    </cfRule>
  </conditionalFormatting>
  <conditionalFormatting sqref="K12">
    <cfRule type="expression" dxfId="152" priority="21">
      <formula>K12&lt;&gt;Z12</formula>
    </cfRule>
  </conditionalFormatting>
  <conditionalFormatting sqref="M9">
    <cfRule type="expression" dxfId="151" priority="22">
      <formula>M9&lt;&gt;AB9</formula>
    </cfRule>
  </conditionalFormatting>
  <conditionalFormatting sqref="M10">
    <cfRule type="expression" dxfId="150" priority="23">
      <formula>M10&lt;&gt;AB10</formula>
    </cfRule>
  </conditionalFormatting>
  <conditionalFormatting sqref="M11">
    <cfRule type="expression" dxfId="149" priority="24">
      <formula>M11&lt;&gt;AB11</formula>
    </cfRule>
  </conditionalFormatting>
  <conditionalFormatting sqref="M12">
    <cfRule type="expression" dxfId="148" priority="25">
      <formula>M12&lt;&gt;AB12</formula>
    </cfRule>
  </conditionalFormatting>
  <dataValidations count="16">
    <dataValidation type="whole" operator="greaterThan" allowBlank="1" showInputMessage="1" showErrorMessage="1" errorTitle="Whole numbers only allowed" error="All monies should be independently rounded to the nearest £1,000." sqref="H6:K6">
      <formula1>-99999999</formula1>
    </dataValidation>
    <dataValidation type="whole" operator="greaterThan" allowBlank="1" showInputMessage="1" showErrorMessage="1" errorTitle="Whole numbers only allowed" error="All monies should be independently rounded to the nearest £1,000." sqref="M6">
      <formula1>-99999999</formula1>
    </dataValidation>
    <dataValidation type="whole" operator="greaterThan" allowBlank="1" showInputMessage="1" showErrorMessage="1" errorTitle="Whole numbers only allowed" error="All monies should be independently rounded to the nearest £1,000." sqref="H10:I12">
      <formula1>-99999999</formula1>
    </dataValidation>
    <dataValidation type="whole" operator="greaterThan" allowBlank="1" showInputMessage="1" showErrorMessage="1" errorTitle="Whole numbers only allowed" error="All monies should be independently rounded to the nearest £1,000." sqref="J11:K12">
      <formula1>-99999999</formula1>
    </dataValidation>
    <dataValidation type="whole" operator="greaterThan" allowBlank="1" showInputMessage="1" showErrorMessage="1" errorTitle="Whole numbers only allowed" error="All monies should be independently rounded to the nearest £1,000." sqref="K9">
      <formula1>-99999999</formula1>
    </dataValidation>
    <dataValidation type="whole" operator="greaterThan" allowBlank="1" showInputMessage="1" showErrorMessage="1" errorTitle="Whole numbers only allowed" error="All monies should be independently rounded to the nearest £1,000." sqref="M9:M12">
      <formula1>-99999999</formula1>
    </dataValidation>
    <dataValidation type="whole" operator="greaterThan" allowBlank="1" showInputMessage="1" showErrorMessage="1" errorTitle="Whole numbers only allowed" error="All monies should be independently rounded to the nearest £1,000." sqref="H19:I21">
      <formula1>-99999999</formula1>
    </dataValidation>
    <dataValidation type="whole" operator="greaterThan" allowBlank="1" showInputMessage="1" showErrorMessage="1" errorTitle="Whole numbers only allowed" error="All monies should be independently rounded to the nearest £1,000." sqref="J20:K21">
      <formula1>-99999999</formula1>
    </dataValidation>
    <dataValidation type="whole" operator="greaterThan" allowBlank="1" showInputMessage="1" showErrorMessage="1" errorTitle="Whole numbers only allowed" error="All monies should be independently rounded to the nearest £1,000." sqref="K18">
      <formula1>-99999999</formula1>
    </dataValidation>
    <dataValidation type="whole" operator="greaterThan" allowBlank="1" showInputMessage="1" showErrorMessage="1" errorTitle="Whole numbers only allowed" error="All monies should be independently rounded to the nearest £1,000." sqref="M18:M21">
      <formula1>-99999999</formula1>
    </dataValidation>
    <dataValidation type="whole" operator="greaterThan" allowBlank="1" showInputMessage="1" showErrorMessage="1" errorTitle="Whole numbers only allowed" error="All monies should be independently rounded to the nearest £1,000." sqref="W6:Z6">
      <formula1>-99999999</formula1>
    </dataValidation>
    <dataValidation type="whole" operator="greaterThan" allowBlank="1" showInputMessage="1" showErrorMessage="1" errorTitle="Whole numbers only allowed" error="All monies should be independently rounded to the nearest £1,000." sqref="AB6">
      <formula1>-99999999</formula1>
    </dataValidation>
    <dataValidation type="whole" operator="greaterThan" allowBlank="1" showInputMessage="1" showErrorMessage="1" errorTitle="Whole numbers only allowed" error="All monies should be independently rounded to the nearest £1,000." sqref="W10:X12">
      <formula1>-99999999</formula1>
    </dataValidation>
    <dataValidation type="whole" operator="greaterThan" allowBlank="1" showInputMessage="1" showErrorMessage="1" errorTitle="Whole numbers only allowed" error="All monies should be independently rounded to the nearest £1,000." sqref="Y11:Z12">
      <formula1>-99999999</formula1>
    </dataValidation>
    <dataValidation type="whole" operator="greaterThan" allowBlank="1" showInputMessage="1" showErrorMessage="1" errorTitle="Whole numbers only allowed" error="All monies should be independently rounded to the nearest £1,000." sqref="Z9">
      <formula1>-99999999</formula1>
    </dataValidation>
    <dataValidation type="whole" operator="greaterThan" allowBlank="1" showInputMessage="1" showErrorMessage="1" errorTitle="Whole numbers only allowed" error="All monies should be independently rounded to the nearest £1,000." sqref="AB9:AB12">
      <formula1>-99999999</formula1>
    </dataValidation>
  </dataValidations>
  <printOptions headings="1"/>
  <pageMargins left="0.31496062992125984" right="0.31496062992125984" top="0.74803149606299213" bottom="0.74803149606299213" header="0.31496062992125984" footer="0.31496062992125984"/>
  <pageSetup paperSize="9" scale="53" orientation="portrait" r:id="rId1"/>
  <ignoredErrors>
    <ignoredError sqref="L24 L1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topLeftCell="A31" zoomScale="90" zoomScaleNormal="90" workbookViewId="0">
      <selection activeCell="R56" sqref="R56"/>
    </sheetView>
  </sheetViews>
  <sheetFormatPr defaultColWidth="9.140625" defaultRowHeight="12.75" x14ac:dyDescent="0.2"/>
  <cols>
    <col min="1" max="1" width="10" style="199" bestFit="1" customWidth="1"/>
    <col min="2" max="2" width="2.140625" style="143" customWidth="1"/>
    <col min="3" max="3" width="1.85546875" style="143" customWidth="1"/>
    <col min="4" max="4" width="51.28515625" style="143" customWidth="1"/>
    <col min="5" max="6" width="1.28515625" style="143" hidden="1" customWidth="1"/>
    <col min="7" max="7" width="0.28515625" style="143" hidden="1" customWidth="1"/>
    <col min="8" max="9" width="17.140625" style="143" customWidth="1"/>
    <col min="10" max="10" width="13.85546875" style="143" hidden="1" customWidth="1"/>
    <col min="11" max="12" width="14.28515625" style="143" hidden="1" customWidth="1"/>
    <col min="13" max="13" width="53.7109375" style="143" customWidth="1"/>
    <col min="14" max="14" width="9.140625" style="143" customWidth="1"/>
    <col min="15" max="16384" width="9.140625" style="143"/>
  </cols>
  <sheetData>
    <row r="1" spans="1:17" customFormat="1" ht="33" customHeight="1" x14ac:dyDescent="0.25">
      <c r="A1" s="226" t="s">
        <v>713</v>
      </c>
      <c r="B1" s="619" t="s">
        <v>714</v>
      </c>
      <c r="C1" s="619"/>
      <c r="D1" s="635"/>
      <c r="E1" s="201"/>
      <c r="F1" s="201"/>
      <c r="G1" s="201"/>
      <c r="H1" s="227"/>
      <c r="I1" s="620" t="s">
        <v>610</v>
      </c>
      <c r="J1" s="620" t="s">
        <v>611</v>
      </c>
      <c r="L1" s="146"/>
    </row>
    <row r="2" spans="1:17" customFormat="1" ht="67.5" customHeight="1" x14ac:dyDescent="0.25">
      <c r="A2" s="147"/>
      <c r="B2" s="148"/>
      <c r="C2" s="148"/>
      <c r="D2" s="148"/>
      <c r="E2" s="148"/>
      <c r="F2" s="148"/>
      <c r="G2" s="148"/>
      <c r="H2" s="228"/>
      <c r="I2" s="621"/>
      <c r="J2" s="621"/>
      <c r="K2" s="143"/>
      <c r="L2" s="149"/>
      <c r="M2" s="150" t="s">
        <v>612</v>
      </c>
      <c r="Q2" s="143"/>
    </row>
    <row r="3" spans="1:17" customFormat="1" ht="37.5" customHeight="1" x14ac:dyDescent="0.25">
      <c r="A3" s="229"/>
      <c r="B3" s="230"/>
      <c r="C3" s="230"/>
      <c r="D3" s="230"/>
      <c r="E3" s="230"/>
      <c r="F3" s="230"/>
      <c r="G3" s="231"/>
      <c r="H3" s="232" t="s">
        <v>613</v>
      </c>
      <c r="I3" s="232" t="s">
        <v>614</v>
      </c>
      <c r="J3" s="232" t="s">
        <v>614</v>
      </c>
      <c r="K3" s="149"/>
      <c r="L3" s="149"/>
      <c r="M3" s="156" t="s">
        <v>615</v>
      </c>
      <c r="Q3" s="143"/>
    </row>
    <row r="4" spans="1:17" customFormat="1" ht="30" customHeight="1" x14ac:dyDescent="0.25">
      <c r="A4" s="233"/>
      <c r="B4" s="234"/>
      <c r="C4" s="234"/>
      <c r="D4" s="234"/>
      <c r="E4" s="234"/>
      <c r="F4" s="234"/>
      <c r="G4" s="235"/>
      <c r="H4" s="232" t="s">
        <v>616</v>
      </c>
      <c r="I4" s="232" t="s">
        <v>616</v>
      </c>
      <c r="J4" s="232" t="s">
        <v>616</v>
      </c>
      <c r="K4" s="146" t="s">
        <v>616</v>
      </c>
      <c r="L4" s="146" t="s">
        <v>617</v>
      </c>
      <c r="M4" s="161" t="s">
        <v>618</v>
      </c>
    </row>
    <row r="5" spans="1:17" customFormat="1" ht="12.75" customHeight="1" x14ac:dyDescent="0.25">
      <c r="A5" s="162">
        <v>1</v>
      </c>
      <c r="B5" s="163" t="s">
        <v>715</v>
      </c>
      <c r="C5" s="164"/>
      <c r="D5" s="164"/>
      <c r="E5" s="164"/>
      <c r="F5" s="164"/>
      <c r="G5" s="165"/>
      <c r="H5" s="166"/>
      <c r="I5" s="166"/>
      <c r="J5" s="166"/>
      <c r="K5" s="168" t="s">
        <v>34</v>
      </c>
      <c r="L5" s="168" t="s">
        <v>34</v>
      </c>
      <c r="M5" s="146" t="s">
        <v>620</v>
      </c>
    </row>
    <row r="6" spans="1:17" customFormat="1" ht="12.75" customHeight="1" x14ac:dyDescent="0.25">
      <c r="A6" s="162" t="s">
        <v>621</v>
      </c>
      <c r="B6" s="236"/>
      <c r="C6" s="237" t="s">
        <v>716</v>
      </c>
      <c r="D6" s="237"/>
      <c r="E6" s="238"/>
      <c r="F6" s="238"/>
      <c r="G6" s="239"/>
      <c r="H6" s="173">
        <v>0</v>
      </c>
      <c r="I6" s="173">
        <v>0</v>
      </c>
      <c r="J6" s="178">
        <v>0</v>
      </c>
      <c r="K6" s="176">
        <f t="shared" ref="K6:K15" si="0">H6-I6</f>
        <v>0</v>
      </c>
      <c r="L6" s="176" t="str">
        <f t="shared" ref="L6:L15" si="1">IF(AND(OR(H6=0,I6&lt;&gt;0),OR(I6=0,H6&lt;&gt;0)),IF((H6+I6+K6&lt;&gt;0),IF(AND(OR(H6&gt;0,I6&lt;0),OR(I6&gt;0,H6&lt;0)),ABS(K6/MIN(ABS(I6),ABS(H6))),10),"-"),10)</f>
        <v>-</v>
      </c>
      <c r="M6" s="177"/>
    </row>
    <row r="7" spans="1:17" customFormat="1" ht="12.75" customHeight="1" x14ac:dyDescent="0.25">
      <c r="A7" s="162" t="s">
        <v>623</v>
      </c>
      <c r="B7" s="236"/>
      <c r="C7" s="237" t="s">
        <v>717</v>
      </c>
      <c r="D7" s="237"/>
      <c r="E7" s="238"/>
      <c r="F7" s="238"/>
      <c r="G7" s="239"/>
      <c r="H7" s="173">
        <v>0</v>
      </c>
      <c r="I7" s="173">
        <v>0</v>
      </c>
      <c r="J7" s="178">
        <v>0</v>
      </c>
      <c r="K7" s="176">
        <f t="shared" si="0"/>
        <v>0</v>
      </c>
      <c r="L7" s="176" t="str">
        <f t="shared" si="1"/>
        <v>-</v>
      </c>
      <c r="M7" s="177"/>
    </row>
    <row r="8" spans="1:17" customFormat="1" ht="12.75" customHeight="1" x14ac:dyDescent="0.25">
      <c r="A8" s="162" t="s">
        <v>625</v>
      </c>
      <c r="B8" s="236"/>
      <c r="C8" s="237" t="s">
        <v>718</v>
      </c>
      <c r="D8" s="237"/>
      <c r="E8" s="238"/>
      <c r="F8" s="238"/>
      <c r="G8" s="239"/>
      <c r="H8" s="173">
        <v>0</v>
      </c>
      <c r="I8" s="173">
        <v>0</v>
      </c>
      <c r="J8" s="178">
        <v>0</v>
      </c>
      <c r="K8" s="176">
        <f t="shared" si="0"/>
        <v>0</v>
      </c>
      <c r="L8" s="176" t="str">
        <f t="shared" si="1"/>
        <v>-</v>
      </c>
      <c r="M8" s="177"/>
    </row>
    <row r="9" spans="1:17" customFormat="1" ht="12.75" customHeight="1" x14ac:dyDescent="0.25">
      <c r="A9" s="162" t="s">
        <v>627</v>
      </c>
      <c r="B9" s="240"/>
      <c r="C9" s="241" t="s">
        <v>719</v>
      </c>
      <c r="D9" s="242"/>
      <c r="E9" s="242"/>
      <c r="F9" s="242"/>
      <c r="G9" s="243"/>
      <c r="H9" s="183">
        <f>SUM(H7:H8)</f>
        <v>0</v>
      </c>
      <c r="I9" s="183">
        <f>SUM(I7:I8)</f>
        <v>0</v>
      </c>
      <c r="J9" s="244">
        <f>SUM(J7:J8)</f>
        <v>0</v>
      </c>
      <c r="K9" s="198">
        <f t="shared" si="0"/>
        <v>0</v>
      </c>
      <c r="L9" s="176" t="str">
        <f t="shared" si="1"/>
        <v>-</v>
      </c>
      <c r="M9" s="194"/>
    </row>
    <row r="10" spans="1:17" customFormat="1" ht="12.75" customHeight="1" x14ac:dyDescent="0.25">
      <c r="A10" s="162" t="s">
        <v>629</v>
      </c>
      <c r="B10" s="236"/>
      <c r="C10" s="237" t="s">
        <v>720</v>
      </c>
      <c r="D10" s="237"/>
      <c r="E10" s="238"/>
      <c r="F10" s="238"/>
      <c r="G10" s="239"/>
      <c r="H10" s="173">
        <v>1741144</v>
      </c>
      <c r="I10" s="173">
        <v>1617062</v>
      </c>
      <c r="J10" s="178">
        <v>1617062</v>
      </c>
      <c r="K10" s="176">
        <f t="shared" si="0"/>
        <v>124082</v>
      </c>
      <c r="L10" s="176">
        <f t="shared" si="1"/>
        <v>7.6732988592892543E-2</v>
      </c>
      <c r="M10" s="177"/>
    </row>
    <row r="11" spans="1:17" customFormat="1" ht="12.75" customHeight="1" x14ac:dyDescent="0.25">
      <c r="A11" s="162" t="s">
        <v>631</v>
      </c>
      <c r="B11" s="236"/>
      <c r="C11" s="237" t="s">
        <v>721</v>
      </c>
      <c r="D11" s="237"/>
      <c r="E11" s="238"/>
      <c r="F11" s="238"/>
      <c r="G11" s="239"/>
      <c r="H11" s="173">
        <v>212844</v>
      </c>
      <c r="I11" s="173">
        <v>212208</v>
      </c>
      <c r="J11" s="178">
        <v>212208</v>
      </c>
      <c r="K11" s="176">
        <f t="shared" si="0"/>
        <v>636</v>
      </c>
      <c r="L11" s="176">
        <f t="shared" si="1"/>
        <v>2.9970594888034381E-3</v>
      </c>
      <c r="M11" s="177"/>
    </row>
    <row r="12" spans="1:17" customFormat="1" ht="12.75" customHeight="1" x14ac:dyDescent="0.25">
      <c r="A12" s="162" t="s">
        <v>633</v>
      </c>
      <c r="B12" s="236"/>
      <c r="C12" s="237" t="s">
        <v>722</v>
      </c>
      <c r="D12" s="237"/>
      <c r="E12" s="238"/>
      <c r="F12" s="238"/>
      <c r="G12" s="239"/>
      <c r="H12" s="173">
        <v>571024</v>
      </c>
      <c r="I12" s="173">
        <v>530584</v>
      </c>
      <c r="J12" s="178">
        <v>530584</v>
      </c>
      <c r="K12" s="176">
        <f t="shared" si="0"/>
        <v>40440</v>
      </c>
      <c r="L12" s="176">
        <f t="shared" si="1"/>
        <v>7.621790329146752E-2</v>
      </c>
      <c r="M12" s="177"/>
    </row>
    <row r="13" spans="1:17" customFormat="1" ht="12.75" customHeight="1" x14ac:dyDescent="0.25">
      <c r="A13" s="162" t="s">
        <v>723</v>
      </c>
      <c r="B13" s="236"/>
      <c r="C13" s="237" t="s">
        <v>724</v>
      </c>
      <c r="D13" s="237"/>
      <c r="E13" s="238"/>
      <c r="F13" s="238"/>
      <c r="G13" s="239"/>
      <c r="H13" s="173">
        <v>0</v>
      </c>
      <c r="I13" s="173">
        <v>0</v>
      </c>
      <c r="J13" s="178">
        <v>0</v>
      </c>
      <c r="K13" s="176">
        <f t="shared" si="0"/>
        <v>0</v>
      </c>
      <c r="L13" s="176" t="str">
        <f t="shared" si="1"/>
        <v>-</v>
      </c>
      <c r="M13" s="177"/>
    </row>
    <row r="14" spans="1:17" customFormat="1" ht="12.75" customHeight="1" x14ac:dyDescent="0.25">
      <c r="A14" s="162" t="s">
        <v>725</v>
      </c>
      <c r="B14" s="236"/>
      <c r="C14" s="237" t="s">
        <v>726</v>
      </c>
      <c r="D14" s="237"/>
      <c r="E14" s="238"/>
      <c r="F14" s="238"/>
      <c r="G14" s="239"/>
      <c r="H14" s="173">
        <v>0</v>
      </c>
      <c r="I14" s="173">
        <v>0</v>
      </c>
      <c r="J14" s="178">
        <v>0</v>
      </c>
      <c r="K14" s="176">
        <f t="shared" si="0"/>
        <v>0</v>
      </c>
      <c r="L14" s="176" t="str">
        <f t="shared" si="1"/>
        <v>-</v>
      </c>
      <c r="M14" s="177"/>
    </row>
    <row r="15" spans="1:17" customFormat="1" ht="12.75" customHeight="1" x14ac:dyDescent="0.25">
      <c r="A15" s="162" t="s">
        <v>727</v>
      </c>
      <c r="B15" s="245" t="s">
        <v>728</v>
      </c>
      <c r="C15" s="246"/>
      <c r="D15" s="246"/>
      <c r="E15" s="246"/>
      <c r="F15" s="246"/>
      <c r="G15" s="247"/>
      <c r="H15" s="183">
        <f>SUM(H6:H8)+SUM(H10:H14)</f>
        <v>2525012</v>
      </c>
      <c r="I15" s="183">
        <f>SUM(I6:I8)+SUM(I10:I14)</f>
        <v>2359854</v>
      </c>
      <c r="J15" s="244">
        <f>SUM(J6:J8)+SUM(J10:J14)</f>
        <v>2359854</v>
      </c>
      <c r="K15" s="176">
        <f t="shared" si="0"/>
        <v>165158</v>
      </c>
      <c r="L15" s="176">
        <f t="shared" si="1"/>
        <v>6.9986533065181156E-2</v>
      </c>
      <c r="M15" s="194"/>
    </row>
    <row r="16" spans="1:17" customFormat="1" ht="12.75" customHeight="1" x14ac:dyDescent="0.25">
      <c r="A16" s="162"/>
      <c r="B16" s="191"/>
      <c r="C16" s="192"/>
      <c r="D16" s="192"/>
      <c r="E16" s="192"/>
      <c r="F16" s="192"/>
      <c r="G16" s="193"/>
      <c r="H16" s="186"/>
      <c r="I16" s="186"/>
      <c r="J16" s="186"/>
      <c r="K16" s="176"/>
      <c r="L16" s="176"/>
    </row>
    <row r="17" spans="1:13" customFormat="1" ht="12.75" customHeight="1" x14ac:dyDescent="0.25">
      <c r="A17" s="162">
        <v>2</v>
      </c>
      <c r="B17" s="163" t="s">
        <v>729</v>
      </c>
      <c r="C17" s="164"/>
      <c r="D17" s="164"/>
      <c r="E17" s="164"/>
      <c r="F17" s="164"/>
      <c r="G17" s="165"/>
      <c r="H17" s="187"/>
      <c r="I17" s="187"/>
      <c r="J17" s="187"/>
      <c r="K17" s="176"/>
      <c r="L17" s="176"/>
    </row>
    <row r="18" spans="1:13" customFormat="1" ht="12.75" customHeight="1" x14ac:dyDescent="0.25">
      <c r="A18" s="162" t="s">
        <v>636</v>
      </c>
      <c r="B18" s="169"/>
      <c r="C18" s="170" t="s">
        <v>730</v>
      </c>
      <c r="D18" s="171"/>
      <c r="E18" s="171"/>
      <c r="F18" s="171"/>
      <c r="G18" s="172"/>
      <c r="H18" s="173">
        <v>3579</v>
      </c>
      <c r="I18" s="173">
        <v>3664</v>
      </c>
      <c r="J18" s="178">
        <v>3664</v>
      </c>
      <c r="K18" s="176">
        <f t="shared" ref="K18:K23" si="2">H18-I18</f>
        <v>-85</v>
      </c>
      <c r="L18" s="176">
        <f t="shared" ref="L18:L23" si="3">IF(AND(OR(H18=0,I18&lt;&gt;0),OR(I18=0,H18&lt;&gt;0)),IF((H18+I18+K18&lt;&gt;0),IF(AND(OR(H18&gt;0,I18&lt;0),OR(I18&gt;0,H18&lt;0)),ABS(K18/MIN(ABS(I18),ABS(H18))),10),"-"),10)</f>
        <v>2.3749650740430287E-2</v>
      </c>
      <c r="M18" s="177"/>
    </row>
    <row r="19" spans="1:13" customFormat="1" ht="12.75" customHeight="1" x14ac:dyDescent="0.25">
      <c r="A19" s="162" t="s">
        <v>638</v>
      </c>
      <c r="B19" s="169"/>
      <c r="C19" s="170" t="s">
        <v>731</v>
      </c>
      <c r="D19" s="171"/>
      <c r="E19" s="171"/>
      <c r="F19" s="171"/>
      <c r="G19" s="172"/>
      <c r="H19" s="173">
        <v>132791</v>
      </c>
      <c r="I19" s="173">
        <v>121950</v>
      </c>
      <c r="J19" s="178">
        <v>121950</v>
      </c>
      <c r="K19" s="176">
        <f t="shared" si="2"/>
        <v>10841</v>
      </c>
      <c r="L19" s="176">
        <f t="shared" si="3"/>
        <v>8.8897088970889715E-2</v>
      </c>
      <c r="M19" s="177"/>
    </row>
    <row r="20" spans="1:13" customFormat="1" ht="12.75" customHeight="1" x14ac:dyDescent="0.25">
      <c r="A20" s="162" t="s">
        <v>640</v>
      </c>
      <c r="B20" s="169"/>
      <c r="C20" s="170" t="s">
        <v>722</v>
      </c>
      <c r="D20" s="171"/>
      <c r="E20" s="171"/>
      <c r="F20" s="171"/>
      <c r="G20" s="172"/>
      <c r="H20" s="173">
        <v>180000</v>
      </c>
      <c r="I20" s="173">
        <v>195000</v>
      </c>
      <c r="J20" s="178">
        <v>195000</v>
      </c>
      <c r="K20" s="176">
        <f t="shared" si="2"/>
        <v>-15000</v>
      </c>
      <c r="L20" s="176">
        <f t="shared" si="3"/>
        <v>8.3333333333333329E-2</v>
      </c>
      <c r="M20" s="177"/>
    </row>
    <row r="21" spans="1:13" customFormat="1" ht="12.75" customHeight="1" x14ac:dyDescent="0.25">
      <c r="A21" s="162" t="s">
        <v>642</v>
      </c>
      <c r="B21" s="169"/>
      <c r="C21" s="170" t="s">
        <v>732</v>
      </c>
      <c r="D21" s="171"/>
      <c r="E21" s="171"/>
      <c r="F21" s="171"/>
      <c r="G21" s="172"/>
      <c r="H21" s="2">
        <v>236081</v>
      </c>
      <c r="I21" s="10">
        <v>250207</v>
      </c>
      <c r="J21" s="21">
        <v>250207</v>
      </c>
      <c r="K21" s="176">
        <f t="shared" si="2"/>
        <v>-14126</v>
      </c>
      <c r="L21" s="176">
        <f t="shared" si="3"/>
        <v>5.9835395478670457E-2</v>
      </c>
      <c r="M21" s="177"/>
    </row>
    <row r="22" spans="1:13" customFormat="1" ht="12.75" customHeight="1" x14ac:dyDescent="0.25">
      <c r="A22" s="162" t="s">
        <v>644</v>
      </c>
      <c r="B22" s="169"/>
      <c r="C22" s="170" t="s">
        <v>733</v>
      </c>
      <c r="D22" s="171"/>
      <c r="E22" s="171"/>
      <c r="F22" s="171"/>
      <c r="G22" s="172"/>
      <c r="H22" s="173">
        <v>0</v>
      </c>
      <c r="I22" s="173">
        <v>0</v>
      </c>
      <c r="J22" s="178">
        <v>0</v>
      </c>
      <c r="K22" s="176">
        <f t="shared" si="2"/>
        <v>0</v>
      </c>
      <c r="L22" s="176" t="str">
        <f t="shared" si="3"/>
        <v>-</v>
      </c>
      <c r="M22" s="177"/>
    </row>
    <row r="23" spans="1:13" customFormat="1" ht="12.75" customHeight="1" x14ac:dyDescent="0.25">
      <c r="A23" s="162" t="s">
        <v>646</v>
      </c>
      <c r="B23" s="245" t="s">
        <v>734</v>
      </c>
      <c r="C23" s="246"/>
      <c r="D23" s="246"/>
      <c r="E23" s="246"/>
      <c r="F23" s="246"/>
      <c r="G23" s="247"/>
      <c r="H23" s="183">
        <f>SUM(H18:H22)</f>
        <v>552451</v>
      </c>
      <c r="I23" s="183">
        <f>SUM(I18:I22)</f>
        <v>570821</v>
      </c>
      <c r="J23" s="244">
        <f>SUM(J18:J22)</f>
        <v>570821</v>
      </c>
      <c r="K23" s="176">
        <f t="shared" si="2"/>
        <v>-18370</v>
      </c>
      <c r="L23" s="176">
        <f t="shared" si="3"/>
        <v>3.3251817808276206E-2</v>
      </c>
      <c r="M23" s="194"/>
    </row>
    <row r="24" spans="1:13" customFormat="1" ht="12.75" customHeight="1" x14ac:dyDescent="0.25">
      <c r="A24" s="162"/>
      <c r="B24" s="184"/>
      <c r="C24" s="179"/>
      <c r="D24" s="179"/>
      <c r="E24" s="179"/>
      <c r="F24" s="179"/>
      <c r="G24" s="185"/>
      <c r="H24" s="186"/>
      <c r="I24" s="186"/>
      <c r="J24" s="186"/>
      <c r="K24" s="176"/>
      <c r="L24" s="176"/>
    </row>
    <row r="25" spans="1:13" customFormat="1" ht="12.75" customHeight="1" x14ac:dyDescent="0.25">
      <c r="A25" s="162">
        <v>3</v>
      </c>
      <c r="B25" s="163" t="s">
        <v>735</v>
      </c>
      <c r="C25" s="248"/>
      <c r="D25" s="248"/>
      <c r="E25" s="248"/>
      <c r="F25" s="248"/>
      <c r="G25" s="249"/>
      <c r="H25" s="187"/>
      <c r="I25" s="187"/>
      <c r="J25" s="187"/>
      <c r="K25" s="176"/>
      <c r="L25" s="176"/>
    </row>
    <row r="26" spans="1:13" customFormat="1" ht="12.75" customHeight="1" x14ac:dyDescent="0.25">
      <c r="A26" s="162" t="s">
        <v>736</v>
      </c>
      <c r="B26" s="169"/>
      <c r="C26" s="170" t="s">
        <v>737</v>
      </c>
      <c r="D26" s="170"/>
      <c r="E26" s="171"/>
      <c r="F26" s="171"/>
      <c r="G26" s="172"/>
      <c r="H26" s="2">
        <v>0</v>
      </c>
      <c r="I26" s="10">
        <v>0</v>
      </c>
      <c r="J26" s="21">
        <v>0</v>
      </c>
      <c r="K26" s="176">
        <f t="shared" ref="K26:K31" si="4">H26-I26</f>
        <v>0</v>
      </c>
      <c r="L26" s="176" t="str">
        <f t="shared" ref="L26:L31" si="5">IF(AND(OR(H26=0,I26&lt;&gt;0),OR(I26=0,H26&lt;&gt;0)),IF((H26+I26+K26&lt;&gt;0),IF(AND(OR(H26&gt;0,I26&lt;0),OR(I26&gt;0,H26&lt;0)),ABS(K26/MIN(ABS(I26),ABS(H26))),10),"-"),10)</f>
        <v>-</v>
      </c>
      <c r="M26" s="177"/>
    </row>
    <row r="27" spans="1:13" customFormat="1" ht="12.75" customHeight="1" x14ac:dyDescent="0.25">
      <c r="A27" s="162" t="s">
        <v>738</v>
      </c>
      <c r="B27" s="169"/>
      <c r="C27" s="170" t="s">
        <v>739</v>
      </c>
      <c r="D27" s="170"/>
      <c r="E27" s="171"/>
      <c r="F27" s="171"/>
      <c r="G27" s="172"/>
      <c r="H27" s="2">
        <v>3185</v>
      </c>
      <c r="I27" s="10">
        <v>3174</v>
      </c>
      <c r="J27" s="21">
        <v>3174</v>
      </c>
      <c r="K27" s="176">
        <f t="shared" si="4"/>
        <v>11</v>
      </c>
      <c r="L27" s="176">
        <f t="shared" si="5"/>
        <v>3.4656584751102709E-3</v>
      </c>
      <c r="M27" s="177"/>
    </row>
    <row r="28" spans="1:13" customFormat="1" ht="12.75" customHeight="1" x14ac:dyDescent="0.25">
      <c r="A28" s="162" t="s">
        <v>740</v>
      </c>
      <c r="B28" s="169"/>
      <c r="C28" s="170" t="s">
        <v>741</v>
      </c>
      <c r="D28" s="170"/>
      <c r="E28" s="171"/>
      <c r="F28" s="171"/>
      <c r="G28" s="172"/>
      <c r="H28" s="2">
        <v>244</v>
      </c>
      <c r="I28" s="10">
        <v>222</v>
      </c>
      <c r="J28" s="21">
        <v>222</v>
      </c>
      <c r="K28" s="176">
        <f t="shared" si="4"/>
        <v>22</v>
      </c>
      <c r="L28" s="176">
        <f t="shared" si="5"/>
        <v>9.90990990990991E-2</v>
      </c>
      <c r="M28" s="177"/>
    </row>
    <row r="29" spans="1:13" customFormat="1" ht="12.75" customHeight="1" x14ac:dyDescent="0.25">
      <c r="A29" s="162" t="s">
        <v>742</v>
      </c>
      <c r="B29" s="169"/>
      <c r="C29" s="170" t="s">
        <v>743</v>
      </c>
      <c r="D29" s="170"/>
      <c r="E29" s="171"/>
      <c r="F29" s="171"/>
      <c r="G29" s="172"/>
      <c r="H29" s="2">
        <v>742</v>
      </c>
      <c r="I29" s="10">
        <v>0</v>
      </c>
      <c r="J29" s="21">
        <v>0</v>
      </c>
      <c r="K29" s="176">
        <f t="shared" si="4"/>
        <v>742</v>
      </c>
      <c r="L29" s="176">
        <f t="shared" si="5"/>
        <v>10</v>
      </c>
      <c r="M29" s="177"/>
    </row>
    <row r="30" spans="1:13" customFormat="1" ht="12.75" customHeight="1" x14ac:dyDescent="0.25">
      <c r="A30" s="162" t="s">
        <v>744</v>
      </c>
      <c r="B30" s="250"/>
      <c r="C30" s="251" t="s">
        <v>745</v>
      </c>
      <c r="D30" s="251"/>
      <c r="E30" s="252"/>
      <c r="F30" s="252"/>
      <c r="G30" s="253"/>
      <c r="H30" s="2">
        <v>306765</v>
      </c>
      <c r="I30" s="10">
        <v>301131</v>
      </c>
      <c r="J30" s="21">
        <v>301131</v>
      </c>
      <c r="K30" s="176">
        <f t="shared" si="4"/>
        <v>5634</v>
      </c>
      <c r="L30" s="176">
        <f t="shared" si="5"/>
        <v>1.8709465315759587E-2</v>
      </c>
      <c r="M30" s="177"/>
    </row>
    <row r="31" spans="1:13" customFormat="1" ht="12.75" customHeight="1" x14ac:dyDescent="0.25">
      <c r="A31" s="162" t="s">
        <v>746</v>
      </c>
      <c r="B31" s="254" t="s">
        <v>747</v>
      </c>
      <c r="C31" s="241"/>
      <c r="D31" s="241"/>
      <c r="E31" s="241"/>
      <c r="F31" s="241"/>
      <c r="G31" s="255"/>
      <c r="H31" s="183">
        <f>SUM(H26:H30)</f>
        <v>310936</v>
      </c>
      <c r="I31" s="183">
        <f>SUM(I26:I30)</f>
        <v>304527</v>
      </c>
      <c r="J31" s="244">
        <f>SUM(J26:J30)</f>
        <v>304527</v>
      </c>
      <c r="K31" s="176">
        <f t="shared" si="4"/>
        <v>6409</v>
      </c>
      <c r="L31" s="176">
        <f t="shared" si="5"/>
        <v>2.1045752921744213E-2</v>
      </c>
      <c r="M31" s="194"/>
    </row>
    <row r="32" spans="1:13" customFormat="1" ht="12.75" customHeight="1" x14ac:dyDescent="0.25">
      <c r="A32" s="162"/>
      <c r="B32" s="184"/>
      <c r="C32" s="179"/>
      <c r="D32" s="179"/>
      <c r="E32" s="179"/>
      <c r="F32" s="179"/>
      <c r="G32" s="185"/>
      <c r="H32" s="186"/>
      <c r="I32" s="186"/>
      <c r="J32" s="186"/>
      <c r="K32" s="176"/>
      <c r="L32" s="176"/>
    </row>
    <row r="33" spans="1:13" customFormat="1" ht="12.75" customHeight="1" x14ac:dyDescent="0.25">
      <c r="A33" s="162">
        <v>4</v>
      </c>
      <c r="B33" s="11" t="s">
        <v>748</v>
      </c>
      <c r="C33" s="171"/>
      <c r="D33" s="171"/>
      <c r="E33" s="171"/>
      <c r="F33" s="171"/>
      <c r="G33" s="239"/>
      <c r="H33" s="10">
        <v>0</v>
      </c>
      <c r="I33" s="10">
        <v>0</v>
      </c>
      <c r="J33" s="21">
        <v>0</v>
      </c>
      <c r="K33" s="176">
        <f>H33-I33</f>
        <v>0</v>
      </c>
      <c r="L33" s="176" t="str">
        <f>IF(AND(OR(H33=0,I33&lt;&gt;0),OR(I33=0,H33&lt;&gt;0)),IF((H33+I33+K33&lt;&gt;0),IF(AND(OR(H33&gt;0,I33&lt;0),OR(I33&gt;0,H33&lt;0)),ABS(K33/MIN(ABS(I33),ABS(H33))),10),"-"),10)</f>
        <v>-</v>
      </c>
      <c r="M33" s="177"/>
    </row>
    <row r="34" spans="1:13" customFormat="1" ht="12.75" customHeight="1" x14ac:dyDescent="0.25">
      <c r="A34" s="162"/>
      <c r="B34" s="184"/>
      <c r="C34" s="179"/>
      <c r="D34" s="179"/>
      <c r="E34" s="179"/>
      <c r="F34" s="179"/>
      <c r="G34" s="185"/>
      <c r="H34" s="186"/>
      <c r="I34" s="186"/>
      <c r="J34" s="186"/>
      <c r="K34" s="176"/>
      <c r="L34" s="176"/>
    </row>
    <row r="35" spans="1:13" customFormat="1" ht="12.75" customHeight="1" x14ac:dyDescent="0.25">
      <c r="A35" s="162">
        <v>5</v>
      </c>
      <c r="B35" s="245" t="s">
        <v>749</v>
      </c>
      <c r="C35" s="246"/>
      <c r="D35" s="246"/>
      <c r="E35" s="246"/>
      <c r="F35" s="246"/>
      <c r="G35" s="247"/>
      <c r="H35" s="183">
        <f>(H23-H31+H33)</f>
        <v>241515</v>
      </c>
      <c r="I35" s="183">
        <f>(I23-I31+I33)</f>
        <v>266294</v>
      </c>
      <c r="J35" s="244">
        <f>(J23-J31+J33)</f>
        <v>266294</v>
      </c>
      <c r="K35" s="176">
        <f>H35-I35</f>
        <v>-24779</v>
      </c>
      <c r="L35" s="176">
        <f>IF(AND(OR(H35=0,I35&lt;&gt;0),OR(I35=0,H35&lt;&gt;0)),IF((H35+I35+K35&lt;&gt;0),IF(AND(OR(H35&gt;0,I35&lt;0),OR(I35&gt;0,H35&lt;0)),ABS(K35/MIN(ABS(I35),ABS(H35))),10),"-"),10)</f>
        <v>0.10259818230751713</v>
      </c>
      <c r="M35" s="194"/>
    </row>
    <row r="36" spans="1:13" customFormat="1" ht="12.75" customHeight="1" x14ac:dyDescent="0.25">
      <c r="A36" s="162"/>
      <c r="B36" s="184"/>
      <c r="C36" s="179"/>
      <c r="D36" s="179"/>
      <c r="E36" s="179"/>
      <c r="F36" s="179"/>
      <c r="G36" s="185"/>
      <c r="H36" s="186"/>
      <c r="I36" s="186"/>
      <c r="J36" s="186"/>
      <c r="K36" s="176"/>
      <c r="L36" s="176"/>
    </row>
    <row r="37" spans="1:13" customFormat="1" ht="12.75" customHeight="1" x14ac:dyDescent="0.25">
      <c r="A37" s="162">
        <v>6</v>
      </c>
      <c r="B37" s="245" t="s">
        <v>750</v>
      </c>
      <c r="C37" s="246"/>
      <c r="D37" s="246"/>
      <c r="E37" s="246"/>
      <c r="F37" s="246"/>
      <c r="G37" s="247"/>
      <c r="H37" s="183">
        <f>H15+H35</f>
        <v>2766527</v>
      </c>
      <c r="I37" s="183">
        <f>I15+I35</f>
        <v>2626148</v>
      </c>
      <c r="J37" s="244">
        <f>J15+J35</f>
        <v>2626148</v>
      </c>
      <c r="K37" s="176">
        <f>H37-I37</f>
        <v>140379</v>
      </c>
      <c r="L37" s="176">
        <f>IF(AND(OR(H37=0,I37&lt;&gt;0),OR(I37=0,H37&lt;&gt;0)),IF((H37+I37+K37&lt;&gt;0),IF(AND(OR(H37&gt;0,I37&lt;0),OR(I37&gt;0,H37&lt;0)),ABS(K37/MIN(ABS(I37),ABS(H37))),10),"-"),10)</f>
        <v>5.3454336922366903E-2</v>
      </c>
      <c r="M37" s="194"/>
    </row>
    <row r="38" spans="1:13" customFormat="1" ht="12.75" customHeight="1" x14ac:dyDescent="0.25">
      <c r="A38" s="162"/>
      <c r="B38" s="184"/>
      <c r="C38" s="179"/>
      <c r="D38" s="179"/>
      <c r="E38" s="179"/>
      <c r="F38" s="179"/>
      <c r="G38" s="185"/>
      <c r="H38" s="186"/>
      <c r="I38" s="186"/>
      <c r="J38" s="186"/>
      <c r="K38" s="176"/>
      <c r="L38" s="176"/>
    </row>
    <row r="39" spans="1:13" customFormat="1" ht="12.75" customHeight="1" x14ac:dyDescent="0.25">
      <c r="A39" s="162">
        <v>7</v>
      </c>
      <c r="B39" s="163" t="s">
        <v>751</v>
      </c>
      <c r="C39" s="248"/>
      <c r="D39" s="248"/>
      <c r="E39" s="248"/>
      <c r="F39" s="248"/>
      <c r="G39" s="249"/>
      <c r="H39" s="187"/>
      <c r="I39" s="187"/>
      <c r="J39" s="187"/>
      <c r="K39" s="176"/>
      <c r="L39" s="176"/>
    </row>
    <row r="40" spans="1:13" customFormat="1" ht="12.75" customHeight="1" x14ac:dyDescent="0.25">
      <c r="A40" s="162" t="s">
        <v>752</v>
      </c>
      <c r="B40" s="169"/>
      <c r="C40" s="170" t="s">
        <v>739</v>
      </c>
      <c r="D40" s="171"/>
      <c r="E40" s="171"/>
      <c r="F40" s="171"/>
      <c r="G40" s="172"/>
      <c r="H40" s="2">
        <v>380617</v>
      </c>
      <c r="I40" s="10">
        <v>317892</v>
      </c>
      <c r="J40" s="21">
        <v>317892</v>
      </c>
      <c r="K40" s="176">
        <f>H40-I40</f>
        <v>62725</v>
      </c>
      <c r="L40" s="176">
        <f>IF(AND(OR(H40=0,I40&lt;&gt;0),OR(I40=0,H40&lt;&gt;0)),IF((H40+I40+K40&lt;&gt;0),IF(AND(OR(H40&gt;0,I40&lt;0),OR(I40&gt;0,H40&lt;0)),ABS(K40/MIN(ABS(I40),ABS(H40))),10),"-"),10)</f>
        <v>0.19731544046405697</v>
      </c>
      <c r="M40" s="177"/>
    </row>
    <row r="41" spans="1:13" customFormat="1" ht="12.75" customHeight="1" x14ac:dyDescent="0.25">
      <c r="A41" s="162" t="s">
        <v>753</v>
      </c>
      <c r="B41" s="169"/>
      <c r="C41" s="170" t="s">
        <v>741</v>
      </c>
      <c r="D41" s="171"/>
      <c r="E41" s="171"/>
      <c r="F41" s="171"/>
      <c r="G41" s="172"/>
      <c r="H41" s="2">
        <v>565</v>
      </c>
      <c r="I41" s="10">
        <v>809</v>
      </c>
      <c r="J41" s="21">
        <v>809</v>
      </c>
      <c r="K41" s="176">
        <f>H41-I41</f>
        <v>-244</v>
      </c>
      <c r="L41" s="176">
        <f>IF(AND(OR(H41=0,I41&lt;&gt;0),OR(I41=0,H41&lt;&gt;0)),IF((H41+I41+K41&lt;&gt;0),IF(AND(OR(H41&gt;0,I41&lt;0),OR(I41&gt;0,H41&lt;0)),ABS(K41/MIN(ABS(I41),ABS(H41))),10),"-"),10)</f>
        <v>0.43185840707964601</v>
      </c>
      <c r="M41" s="177"/>
    </row>
    <row r="42" spans="1:13" customFormat="1" ht="12.75" customHeight="1" x14ac:dyDescent="0.25">
      <c r="A42" s="162" t="s">
        <v>754</v>
      </c>
      <c r="B42" s="169"/>
      <c r="C42" s="170" t="s">
        <v>743</v>
      </c>
      <c r="D42" s="171"/>
      <c r="E42" s="171"/>
      <c r="F42" s="171"/>
      <c r="G42" s="172"/>
      <c r="H42" s="2">
        <v>4450</v>
      </c>
      <c r="I42" s="10">
        <v>0</v>
      </c>
      <c r="J42" s="21">
        <v>0</v>
      </c>
      <c r="K42" s="176">
        <f>H42-I42</f>
        <v>4450</v>
      </c>
      <c r="L42" s="176">
        <f>IF(AND(OR(H42=0,I42&lt;&gt;0),OR(I42=0,H42&lt;&gt;0)),IF((H42+I42+K42&lt;&gt;0),IF(AND(OR(H42&gt;0,I42&lt;0),OR(I42&gt;0,H42&lt;0)),ABS(K42/MIN(ABS(I42),ABS(H42))),10),"-"),10)</f>
        <v>10</v>
      </c>
      <c r="M42" s="177" t="s">
        <v>6</v>
      </c>
    </row>
    <row r="43" spans="1:13" customFormat="1" ht="12.75" customHeight="1" x14ac:dyDescent="0.25">
      <c r="A43" s="162" t="s">
        <v>755</v>
      </c>
      <c r="B43" s="169"/>
      <c r="C43" s="170" t="s">
        <v>745</v>
      </c>
      <c r="D43" s="171"/>
      <c r="E43" s="171"/>
      <c r="F43" s="171"/>
      <c r="G43" s="172"/>
      <c r="H43" s="2">
        <v>731</v>
      </c>
      <c r="I43" s="10">
        <v>714</v>
      </c>
      <c r="J43" s="21">
        <v>714</v>
      </c>
      <c r="K43" s="176">
        <f>H43-I43</f>
        <v>17</v>
      </c>
      <c r="L43" s="176">
        <f>IF(AND(OR(H43=0,I43&lt;&gt;0),OR(I43=0,H43&lt;&gt;0)),IF((H43+I43+K43&lt;&gt;0),IF(AND(OR(H43&gt;0,I43&lt;0),OR(I43&gt;0,H43&lt;0)),ABS(K43/MIN(ABS(I43),ABS(H43))),10),"-"),10)</f>
        <v>2.3809523809523808E-2</v>
      </c>
      <c r="M43" s="177"/>
    </row>
    <row r="44" spans="1:13" customFormat="1" ht="12.75" customHeight="1" x14ac:dyDescent="0.25">
      <c r="A44" s="162" t="s">
        <v>756</v>
      </c>
      <c r="B44" s="254" t="s">
        <v>757</v>
      </c>
      <c r="C44" s="241"/>
      <c r="D44" s="241"/>
      <c r="E44" s="241"/>
      <c r="F44" s="241"/>
      <c r="G44" s="255"/>
      <c r="H44" s="183">
        <f>SUM(H40:H43)</f>
        <v>386363</v>
      </c>
      <c r="I44" s="183">
        <f>SUM(I40:I43)</f>
        <v>319415</v>
      </c>
      <c r="J44" s="244">
        <f>SUM(J40:J43)</f>
        <v>319415</v>
      </c>
      <c r="K44" s="176">
        <f>H44-I44</f>
        <v>66948</v>
      </c>
      <c r="L44" s="176">
        <f>IF(AND(OR(H44=0,I44&lt;&gt;0),OR(I44=0,H44&lt;&gt;0)),IF((H44+I44+K44&lt;&gt;0),IF(AND(OR(H44&gt;0,I44&lt;0),OR(I44&gt;0,H44&lt;0)),ABS(K44/MIN(ABS(I44),ABS(H44))),10),"-"),10)</f>
        <v>0.20959566707887858</v>
      </c>
      <c r="M44" s="194"/>
    </row>
    <row r="45" spans="1:13" customFormat="1" ht="12.75" customHeight="1" x14ac:dyDescent="0.25">
      <c r="A45" s="162"/>
      <c r="B45" s="184"/>
      <c r="C45" s="179"/>
      <c r="D45" s="179"/>
      <c r="E45" s="179"/>
      <c r="F45" s="179"/>
      <c r="G45" s="185"/>
      <c r="H45" s="186"/>
      <c r="I45" s="186"/>
      <c r="J45" s="186"/>
      <c r="K45" s="176"/>
      <c r="L45" s="176"/>
    </row>
    <row r="46" spans="1:13" customFormat="1" ht="12.75" customHeight="1" x14ac:dyDescent="0.25">
      <c r="A46" s="162">
        <v>8</v>
      </c>
      <c r="B46" s="163" t="s">
        <v>758</v>
      </c>
      <c r="C46" s="164"/>
      <c r="D46" s="164"/>
      <c r="E46" s="164"/>
      <c r="F46" s="164"/>
      <c r="G46" s="165"/>
      <c r="H46" s="187"/>
      <c r="I46" s="187"/>
      <c r="J46" s="187"/>
      <c r="K46" s="176"/>
      <c r="L46" s="176"/>
    </row>
    <row r="47" spans="1:13" customFormat="1" ht="12.75" customHeight="1" x14ac:dyDescent="0.25">
      <c r="A47" s="162" t="s">
        <v>759</v>
      </c>
      <c r="B47" s="12"/>
      <c r="C47" s="170" t="s">
        <v>760</v>
      </c>
      <c r="D47" s="171"/>
      <c r="E47" s="171"/>
      <c r="F47" s="13"/>
      <c r="G47" s="239"/>
      <c r="H47" s="173">
        <v>163264</v>
      </c>
      <c r="I47" s="173">
        <v>260794</v>
      </c>
      <c r="J47" s="178">
        <v>260794</v>
      </c>
      <c r="K47" s="176">
        <f>H47-I47</f>
        <v>-97530</v>
      </c>
      <c r="L47" s="176">
        <f>IF(AND(OR(H47=0,I47&lt;&gt;0),OR(I47=0,H47&lt;&gt;0)),IF((H47+I47+K47&lt;&gt;0),IF(AND(OR(H47&gt;0,I47&lt;0),OR(I47&gt;0,H47&lt;0)),ABS(K47/MIN(ABS(I47),ABS(H47))),10),"-"),10)</f>
        <v>0.59737602900823206</v>
      </c>
      <c r="M47" s="177"/>
    </row>
    <row r="48" spans="1:13" customFormat="1" ht="12.75" customHeight="1" x14ac:dyDescent="0.25">
      <c r="A48" s="162" t="s">
        <v>761</v>
      </c>
      <c r="B48" s="169"/>
      <c r="C48" s="170" t="s">
        <v>762</v>
      </c>
      <c r="D48" s="171"/>
      <c r="E48" s="171"/>
      <c r="F48" s="171"/>
      <c r="G48" s="172"/>
      <c r="H48" s="173">
        <v>0</v>
      </c>
      <c r="I48" s="173">
        <v>0</v>
      </c>
      <c r="J48" s="178">
        <v>0</v>
      </c>
      <c r="K48" s="176">
        <f>H48-I48</f>
        <v>0</v>
      </c>
      <c r="L48" s="176" t="str">
        <f>IF(AND(OR(H48=0,I48&lt;&gt;0),OR(I48=0,H48&lt;&gt;0)),IF((H48+I48+K48&lt;&gt;0),IF(AND(OR(H48&gt;0,I48&lt;0),OR(I48&gt;0,H48&lt;0)),ABS(K48/MIN(ABS(I48),ABS(H48))),10),"-"),10)</f>
        <v>-</v>
      </c>
      <c r="M48" s="177"/>
    </row>
    <row r="49" spans="1:13" customFormat="1" ht="12.75" customHeight="1" x14ac:dyDescent="0.25">
      <c r="A49" s="162" t="s">
        <v>763</v>
      </c>
      <c r="B49" s="245" t="s">
        <v>764</v>
      </c>
      <c r="C49" s="246"/>
      <c r="D49" s="246"/>
      <c r="E49" s="246"/>
      <c r="F49" s="246"/>
      <c r="G49" s="247"/>
      <c r="H49" s="183">
        <f>SUM(H47:H48)</f>
        <v>163264</v>
      </c>
      <c r="I49" s="183">
        <f>SUM(I47:I48)</f>
        <v>260794</v>
      </c>
      <c r="J49" s="244">
        <f>SUM(J47:J48)</f>
        <v>260794</v>
      </c>
      <c r="K49" s="176">
        <f>H49-I49</f>
        <v>-97530</v>
      </c>
      <c r="L49" s="176">
        <f>IF(AND(OR(H49=0,I49&lt;&gt;0),OR(I49=0,H49&lt;&gt;0)),IF((H49+I49+K49&lt;&gt;0),IF(AND(OR(H49&gt;0,I49&lt;0),OR(I49&gt;0,H49&lt;0)),ABS(K49/MIN(ABS(I49),ABS(H49))),10),"-"),10)</f>
        <v>0.59737602900823206</v>
      </c>
      <c r="M49" s="194"/>
    </row>
    <row r="50" spans="1:13" customFormat="1" ht="12.75" customHeight="1" x14ac:dyDescent="0.25">
      <c r="A50" s="162"/>
      <c r="B50" s="184"/>
      <c r="C50" s="179"/>
      <c r="D50" s="179"/>
      <c r="E50" s="179"/>
      <c r="F50" s="179"/>
      <c r="G50" s="185"/>
      <c r="H50" s="186"/>
      <c r="I50" s="186"/>
      <c r="J50" s="186"/>
      <c r="K50" s="176"/>
      <c r="L50" s="176"/>
    </row>
    <row r="51" spans="1:13" customFormat="1" ht="12.75" customHeight="1" x14ac:dyDescent="0.25">
      <c r="A51" s="162">
        <v>9</v>
      </c>
      <c r="B51" s="245" t="s">
        <v>765</v>
      </c>
      <c r="C51" s="246"/>
      <c r="D51" s="246"/>
      <c r="E51" s="246"/>
      <c r="F51" s="246"/>
      <c r="G51" s="247"/>
      <c r="H51" s="183">
        <f>(H37-H44-H49)</f>
        <v>2216900</v>
      </c>
      <c r="I51" s="183">
        <f>(I37-I44-I49)</f>
        <v>2045939</v>
      </c>
      <c r="J51" s="244">
        <f>(J37-J44-J49)</f>
        <v>2045939</v>
      </c>
      <c r="K51" s="176">
        <f>H51-I51</f>
        <v>170961</v>
      </c>
      <c r="L51" s="176">
        <f>IF(AND(OR(H51=0,I51&lt;&gt;0),OR(I51=0,H51&lt;&gt;0)),IF((H51+I51+K51&lt;&gt;0),IF(AND(OR(H51&gt;0,I51&lt;0),OR(I51&gt;0,H51&lt;0)),ABS(K51/MIN(ABS(I51),ABS(H51))),10),"-"),10)</f>
        <v>8.3561142340998443E-2</v>
      </c>
      <c r="M51" s="194"/>
    </row>
    <row r="52" spans="1:13" customFormat="1" ht="12.75" customHeight="1" x14ac:dyDescent="0.25">
      <c r="A52" s="162"/>
      <c r="B52" s="184"/>
      <c r="C52" s="179"/>
      <c r="D52" s="179"/>
      <c r="E52" s="179"/>
      <c r="F52" s="179"/>
      <c r="G52" s="185"/>
      <c r="H52" s="186"/>
      <c r="I52" s="186"/>
      <c r="J52" s="186"/>
      <c r="K52" s="176"/>
      <c r="L52" s="176"/>
    </row>
    <row r="53" spans="1:13" customFormat="1" ht="12.75" customHeight="1" x14ac:dyDescent="0.25">
      <c r="A53" s="162">
        <v>10</v>
      </c>
      <c r="B53" s="163" t="s">
        <v>766</v>
      </c>
      <c r="C53" s="164"/>
      <c r="D53" s="164"/>
      <c r="E53" s="164"/>
      <c r="F53" s="164"/>
      <c r="G53" s="165"/>
      <c r="H53" s="187"/>
      <c r="I53" s="187"/>
      <c r="J53" s="187"/>
      <c r="K53" s="176"/>
      <c r="L53" s="176"/>
    </row>
    <row r="54" spans="1:13" customFormat="1" ht="12.75" customHeight="1" x14ac:dyDescent="0.25">
      <c r="A54" s="162" t="s">
        <v>767</v>
      </c>
      <c r="B54" s="169"/>
      <c r="C54" s="170" t="s">
        <v>768</v>
      </c>
      <c r="D54" s="171"/>
      <c r="E54" s="171"/>
      <c r="F54" s="171"/>
      <c r="G54" s="172"/>
      <c r="H54" s="196">
        <f>Table_2_UK!H24</f>
        <v>424104</v>
      </c>
      <c r="I54" s="173">
        <v>392121</v>
      </c>
      <c r="J54" s="256">
        <v>392121</v>
      </c>
      <c r="K54" s="176">
        <f>H54-I54</f>
        <v>31983</v>
      </c>
      <c r="L54" s="176">
        <f>IF(AND(OR(H54=0,I54&lt;&gt;0),OR(I54=0,H54&lt;&gt;0)),IF((H54+I54+K54&lt;&gt;0),IF(AND(OR(H54&gt;0,I54&lt;0),OR(I54&gt;0,H54&lt;0)),ABS(K54/MIN(ABS(I54),ABS(H54))),10),"-"),10)</f>
        <v>8.1564109037771504E-2</v>
      </c>
      <c r="M54" s="177"/>
    </row>
    <row r="55" spans="1:13" customFormat="1" ht="12.75" customHeight="1" x14ac:dyDescent="0.25">
      <c r="A55" s="162" t="s">
        <v>769</v>
      </c>
      <c r="B55" s="169"/>
      <c r="C55" s="170" t="s">
        <v>770</v>
      </c>
      <c r="D55" s="171"/>
      <c r="E55" s="171"/>
      <c r="F55" s="171"/>
      <c r="G55" s="172"/>
      <c r="H55" s="196">
        <f>Table_2_UK!I24</f>
        <v>56903</v>
      </c>
      <c r="I55" s="173">
        <v>48193</v>
      </c>
      <c r="J55" s="256">
        <v>48193</v>
      </c>
      <c r="K55" s="176">
        <f>H55-I55</f>
        <v>8710</v>
      </c>
      <c r="L55" s="176">
        <f>IF(AND(OR(H55=0,I55&lt;&gt;0),OR(I55=0,H55&lt;&gt;0)),IF((H55+I55+K55&lt;&gt;0),IF(AND(OR(H55&gt;0,I55&lt;0),OR(I55&gt;0,H55&lt;0)),ABS(K55/MIN(ABS(I55),ABS(H55))),10),"-"),10)</f>
        <v>0.18073164152470275</v>
      </c>
      <c r="M55" s="177"/>
    </row>
    <row r="56" spans="1:13" customFormat="1" ht="12.75" customHeight="1" x14ac:dyDescent="0.25">
      <c r="A56" s="162">
        <v>11</v>
      </c>
      <c r="B56" s="163" t="s">
        <v>771</v>
      </c>
      <c r="C56" s="164"/>
      <c r="D56" s="164"/>
      <c r="E56" s="164"/>
      <c r="F56" s="164"/>
      <c r="G56" s="165"/>
      <c r="H56" s="187"/>
      <c r="I56" s="187"/>
      <c r="J56" s="187"/>
      <c r="K56" s="176"/>
      <c r="L56" s="176"/>
    </row>
    <row r="57" spans="1:13" customFormat="1" ht="12.75" customHeight="1" x14ac:dyDescent="0.25">
      <c r="A57" s="162" t="s">
        <v>772</v>
      </c>
      <c r="B57" s="169"/>
      <c r="C57" s="170" t="s">
        <v>773</v>
      </c>
      <c r="D57" s="171"/>
      <c r="E57" s="171"/>
      <c r="F57" s="171"/>
      <c r="G57" s="172"/>
      <c r="H57" s="196">
        <f>Table_2_UK!J24</f>
        <v>1528113</v>
      </c>
      <c r="I57" s="173">
        <v>1397845</v>
      </c>
      <c r="J57" s="256">
        <v>1397845</v>
      </c>
      <c r="K57" s="176">
        <f>H57-I57</f>
        <v>130268</v>
      </c>
      <c r="L57" s="176">
        <f>IF(AND(OR(H57=0,I57&lt;&gt;0),OR(I57=0,H57&lt;&gt;0)),IF((H57+I57+K57&lt;&gt;0),IF(AND(OR(H57&gt;0,I57&lt;0),OR(I57&gt;0,H57&lt;0)),ABS(K57/MIN(ABS(I57),ABS(H57))),10),"-"),10)</f>
        <v>9.3192020574527218E-2</v>
      </c>
      <c r="M57" s="177"/>
    </row>
    <row r="58" spans="1:13" customFormat="1" ht="12.75" customHeight="1" x14ac:dyDescent="0.25">
      <c r="A58" s="162" t="s">
        <v>774</v>
      </c>
      <c r="B58" s="169"/>
      <c r="C58" s="170" t="s">
        <v>692</v>
      </c>
      <c r="D58" s="171"/>
      <c r="E58" s="171"/>
      <c r="F58" s="171"/>
      <c r="G58" s="172"/>
      <c r="H58" s="196">
        <f>Table_2_UK!K24</f>
        <v>207780</v>
      </c>
      <c r="I58" s="173">
        <v>207780</v>
      </c>
      <c r="J58" s="256">
        <v>207780</v>
      </c>
      <c r="K58" s="176">
        <f>H58-I58</f>
        <v>0</v>
      </c>
      <c r="L58" s="176">
        <f>IF(AND(OR(H58=0,I58&lt;&gt;0),OR(I58=0,H58&lt;&gt;0)),IF((H58+I58+K58&lt;&gt;0),IF(AND(OR(H58&gt;0,I58&lt;0),OR(I58&gt;0,H58&lt;0)),ABS(K58/MIN(ABS(I58),ABS(H58))),10),"-"),10)</f>
        <v>0</v>
      </c>
      <c r="M58" s="177"/>
    </row>
    <row r="59" spans="1:13" customFormat="1" ht="12.75" customHeight="1" x14ac:dyDescent="0.25">
      <c r="A59" s="162">
        <v>12</v>
      </c>
      <c r="B59" s="245" t="s">
        <v>775</v>
      </c>
      <c r="C59" s="246"/>
      <c r="D59" s="246"/>
      <c r="E59" s="246"/>
      <c r="F59" s="246"/>
      <c r="G59" s="247"/>
      <c r="H59" s="183">
        <f>SUM(H54:H58)</f>
        <v>2216900</v>
      </c>
      <c r="I59" s="183">
        <f>SUM(I54:I58)</f>
        <v>2045939</v>
      </c>
      <c r="J59" s="244">
        <f>SUM(J54:J58)</f>
        <v>2045939</v>
      </c>
      <c r="K59" s="176">
        <f>H59-I59</f>
        <v>170961</v>
      </c>
      <c r="L59" s="176">
        <f>IF(AND(OR(H59=0,I59&lt;&gt;0),OR(I59=0,H59&lt;&gt;0)),IF((H59+I59+K59&lt;&gt;0),IF(AND(OR(H59&gt;0,I59&lt;0),OR(I59&gt;0,H59&lt;0)),ABS(K59/MIN(ABS(I59),ABS(H59))),10),"-"),10)</f>
        <v>8.3561142340998443E-2</v>
      </c>
      <c r="M59" s="194"/>
    </row>
    <row r="60" spans="1:13" customFormat="1" ht="12.75" customHeight="1" x14ac:dyDescent="0.25">
      <c r="A60" s="162"/>
      <c r="B60" s="11"/>
      <c r="C60" s="171"/>
      <c r="D60" s="171"/>
      <c r="E60" s="171"/>
      <c r="F60" s="14"/>
      <c r="G60" s="239"/>
      <c r="H60" s="4"/>
      <c r="I60" s="4"/>
      <c r="J60" s="4"/>
      <c r="K60" s="176"/>
      <c r="L60" s="176"/>
    </row>
    <row r="61" spans="1:13" customFormat="1" ht="12.75" customHeight="1" x14ac:dyDescent="0.25">
      <c r="A61" s="162">
        <v>13</v>
      </c>
      <c r="B61" s="184" t="s">
        <v>685</v>
      </c>
      <c r="C61" s="179"/>
      <c r="D61" s="179"/>
      <c r="E61" s="179"/>
      <c r="F61" s="179"/>
      <c r="G61" s="185"/>
      <c r="H61" s="196">
        <f>Table_2_UK!M24</f>
        <v>0</v>
      </c>
      <c r="I61" s="173">
        <v>0</v>
      </c>
      <c r="J61" s="178">
        <v>0</v>
      </c>
      <c r="K61" s="176">
        <f>H61-I61</f>
        <v>0</v>
      </c>
      <c r="L61" s="176" t="str">
        <f>IF(AND(OR(H61=0,I61&lt;&gt;0),OR(I61=0,H61&lt;&gt;0)),IF((H61+I61+K61&lt;&gt;0),IF(AND(OR(H61&gt;0,I61&lt;0),OR(I61&gt;0,H61&lt;0)),ABS(K61/MIN(ABS(I61),ABS(H61))),10),"-"),10)</f>
        <v>-</v>
      </c>
      <c r="M61" s="177"/>
    </row>
    <row r="62" spans="1:13" customFormat="1" ht="12.75" customHeight="1" x14ac:dyDescent="0.25">
      <c r="A62" s="162"/>
      <c r="B62" s="184"/>
      <c r="C62" s="179"/>
      <c r="D62" s="179"/>
      <c r="E62" s="179"/>
      <c r="F62" s="179"/>
      <c r="G62" s="185"/>
      <c r="H62" s="257"/>
      <c r="I62" s="186"/>
      <c r="J62" s="186"/>
      <c r="K62" s="176"/>
      <c r="L62" s="176"/>
    </row>
    <row r="63" spans="1:13" customFormat="1" ht="12.75" customHeight="1" x14ac:dyDescent="0.25">
      <c r="A63" s="162">
        <v>14</v>
      </c>
      <c r="B63" s="245" t="s">
        <v>776</v>
      </c>
      <c r="C63" s="246"/>
      <c r="D63" s="246"/>
      <c r="E63" s="246"/>
      <c r="F63" s="246"/>
      <c r="G63" s="247"/>
      <c r="H63" s="183">
        <f>(H59+H61)</f>
        <v>2216900</v>
      </c>
      <c r="I63" s="183">
        <f>(I59+I61)</f>
        <v>2045939</v>
      </c>
      <c r="J63" s="244">
        <f>(J59+J61)</f>
        <v>2045939</v>
      </c>
      <c r="K63" s="176">
        <f>H63-I63</f>
        <v>170961</v>
      </c>
      <c r="L63" s="176">
        <f>IF(AND(OR(H63=0,I63&lt;&gt;0),OR(I63=0,H63&lt;&gt;0)),IF((H63+I63+K63&lt;&gt;0),IF(AND(OR(H63&gt;0,I63&lt;0),OR(I63&gt;0,H63&lt;0)),ABS(K63/MIN(ABS(I63),ABS(H63))),10),"-"),10)</f>
        <v>8.3561142340998443E-2</v>
      </c>
      <c r="M63" s="194"/>
    </row>
    <row r="64" spans="1:13" customFormat="1" ht="12.75" customHeight="1" x14ac:dyDescent="0.25"/>
    <row r="65" customFormat="1" ht="12.75" customHeight="1" x14ac:dyDescent="0.25"/>
    <row r="66" customFormat="1" ht="12.75" customHeight="1" x14ac:dyDescent="0.25"/>
    <row r="67" customFormat="1" ht="12.75" customHeight="1" x14ac:dyDescent="0.25"/>
  </sheetData>
  <sheetProtection algorithmName="SHA-512" hashValue="xMS1BZylG8I41BmuPu0+UBg5ycPhYYLBhlJfAxXKKJzR5mc+vBHg7ZIMNmnauNoulosZpAWwZj8ckF01clQwKg==" saltValue="Vu/inq5EIEsoPvnObz2SKg==" spinCount="100000" sheet="1" objects="1" scenarios="1"/>
  <mergeCells count="3">
    <mergeCell ref="B1:D1"/>
    <mergeCell ref="I1:I2"/>
    <mergeCell ref="J1:J2"/>
  </mergeCells>
  <conditionalFormatting sqref="M18:M22">
    <cfRule type="expression" dxfId="147" priority="1">
      <formula>AND(OR((L18)&gt;2,(L18)&lt;-2),(L18)&lt;&gt;"-",OR((K18)&gt;750,(K18)&lt;-750))</formula>
    </cfRule>
  </conditionalFormatting>
  <conditionalFormatting sqref="M6:M8">
    <cfRule type="expression" dxfId="146" priority="2">
      <formula>AND(OR((L6)&gt;2,(L6)&lt;-2),(L6)&lt;&gt;"-",OR((K6)&gt;750,(K6)&lt;-750))</formula>
    </cfRule>
  </conditionalFormatting>
  <conditionalFormatting sqref="M10:M14">
    <cfRule type="expression" dxfId="145" priority="3">
      <formula>AND(OR((L10)&gt;2,(L10)&lt;-2),(L10)&lt;&gt;"-",OR((K10)&gt;750,(K10)&lt;-750))</formula>
    </cfRule>
  </conditionalFormatting>
  <conditionalFormatting sqref="M26:M30">
    <cfRule type="expression" dxfId="144" priority="4">
      <formula>AND(OR((L26)&gt;2,(L26)&lt;-2),(L26)&lt;&gt;"-",OR((K26)&gt;750,(K26)&lt;-750))</formula>
    </cfRule>
  </conditionalFormatting>
  <conditionalFormatting sqref="M33">
    <cfRule type="expression" dxfId="143" priority="5">
      <formula>AND(OR((L33)&gt;2,(L33)&lt;-2),(L33)&lt;&gt;"-",OR((K33)&gt;750,(K33)&lt;-750))</formula>
    </cfRule>
  </conditionalFormatting>
  <conditionalFormatting sqref="M40:M43">
    <cfRule type="expression" dxfId="142" priority="6">
      <formula>AND(OR((L40)&gt;2,(L40)&lt;-2),(L40)&lt;&gt;"-",OR((K40)&gt;750,(K40)&lt;-750))</formula>
    </cfRule>
  </conditionalFormatting>
  <conditionalFormatting sqref="M47:M48">
    <cfRule type="expression" dxfId="141" priority="7">
      <formula>AND(OR((L47)&gt;2,(L47)&lt;-2),(L47)&lt;&gt;"-",OR((K47)&gt;750,(K47)&lt;-750))</formula>
    </cfRule>
  </conditionalFormatting>
  <conditionalFormatting sqref="M54:M55">
    <cfRule type="expression" dxfId="140" priority="8">
      <formula>AND(OR((L54)&gt;2,(L54)&lt;-2),(L54)&lt;&gt;"-",OR((K54)&gt;750,(K54)&lt;-750))</formula>
    </cfRule>
  </conditionalFormatting>
  <conditionalFormatting sqref="M57:M58">
    <cfRule type="expression" dxfId="139" priority="9">
      <formula>AND(OR((L57)&gt;2,(L57)&lt;-2),(L57)&lt;&gt;"-",OR((K57)&gt;750,(K57)&lt;-750))</formula>
    </cfRule>
  </conditionalFormatting>
  <conditionalFormatting sqref="M61">
    <cfRule type="expression" dxfId="138" priority="10">
      <formula>AND(OR((L61)&gt;2,(L61)&lt;-2),(L61)&lt;&gt;"-",OR((K61)&gt;750,(K61)&lt;-750))</formula>
    </cfRule>
  </conditionalFormatting>
  <conditionalFormatting sqref="I6">
    <cfRule type="expression" dxfId="137" priority="11">
      <formula>I6&lt;&gt;J6</formula>
    </cfRule>
  </conditionalFormatting>
  <conditionalFormatting sqref="I7">
    <cfRule type="expression" dxfId="136" priority="12">
      <formula>I7&lt;&gt;J7</formula>
    </cfRule>
  </conditionalFormatting>
  <conditionalFormatting sqref="I8">
    <cfRule type="expression" dxfId="135" priority="13">
      <formula>I8&lt;&gt;J8</formula>
    </cfRule>
  </conditionalFormatting>
  <conditionalFormatting sqref="I10">
    <cfRule type="expression" dxfId="134" priority="14">
      <formula>I10&lt;&gt;J10</formula>
    </cfRule>
  </conditionalFormatting>
  <conditionalFormatting sqref="I11">
    <cfRule type="expression" dxfId="133" priority="15">
      <formula>I11&lt;&gt;J11</formula>
    </cfRule>
  </conditionalFormatting>
  <conditionalFormatting sqref="I12">
    <cfRule type="expression" dxfId="132" priority="16">
      <formula>I12&lt;&gt;J12</formula>
    </cfRule>
  </conditionalFormatting>
  <conditionalFormatting sqref="I13">
    <cfRule type="expression" dxfId="131" priority="17">
      <formula>I13&lt;&gt;J13</formula>
    </cfRule>
  </conditionalFormatting>
  <conditionalFormatting sqref="I14">
    <cfRule type="expression" dxfId="130" priority="18">
      <formula>I14&lt;&gt;J14</formula>
    </cfRule>
  </conditionalFormatting>
  <conditionalFormatting sqref="I18">
    <cfRule type="expression" dxfId="129" priority="19">
      <formula>I18&lt;&gt;J18</formula>
    </cfRule>
  </conditionalFormatting>
  <conditionalFormatting sqref="I19">
    <cfRule type="expression" dxfId="128" priority="20">
      <formula>I19&lt;&gt;J19</formula>
    </cfRule>
  </conditionalFormatting>
  <conditionalFormatting sqref="I20">
    <cfRule type="expression" dxfId="127" priority="21">
      <formula>I20&lt;&gt;J20</formula>
    </cfRule>
  </conditionalFormatting>
  <conditionalFormatting sqref="I21">
    <cfRule type="expression" dxfId="126" priority="22">
      <formula>I21&lt;&gt;J21</formula>
    </cfRule>
  </conditionalFormatting>
  <conditionalFormatting sqref="I22">
    <cfRule type="expression" dxfId="125" priority="23">
      <formula>I22&lt;&gt;J22</formula>
    </cfRule>
  </conditionalFormatting>
  <conditionalFormatting sqref="I26">
    <cfRule type="expression" dxfId="124" priority="24">
      <formula>I26&lt;&gt;J26</formula>
    </cfRule>
  </conditionalFormatting>
  <conditionalFormatting sqref="I27">
    <cfRule type="expression" dxfId="123" priority="25">
      <formula>I27&lt;&gt;J27</formula>
    </cfRule>
  </conditionalFormatting>
  <conditionalFormatting sqref="I28">
    <cfRule type="expression" dxfId="122" priority="26">
      <formula>I28&lt;&gt;J28</formula>
    </cfRule>
  </conditionalFormatting>
  <conditionalFormatting sqref="I29">
    <cfRule type="expression" dxfId="121" priority="27">
      <formula>I29&lt;&gt;J29</formula>
    </cfRule>
  </conditionalFormatting>
  <conditionalFormatting sqref="I30">
    <cfRule type="expression" dxfId="120" priority="28">
      <formula>I30&lt;&gt;J30</formula>
    </cfRule>
  </conditionalFormatting>
  <conditionalFormatting sqref="I33">
    <cfRule type="expression" dxfId="119" priority="29">
      <formula>I33&lt;&gt;J33</formula>
    </cfRule>
  </conditionalFormatting>
  <conditionalFormatting sqref="I40">
    <cfRule type="expression" dxfId="118" priority="30">
      <formula>I40&lt;&gt;J40</formula>
    </cfRule>
  </conditionalFormatting>
  <conditionalFormatting sqref="I41">
    <cfRule type="expression" dxfId="117" priority="31">
      <formula>I41&lt;&gt;J41</formula>
    </cfRule>
  </conditionalFormatting>
  <conditionalFormatting sqref="I42">
    <cfRule type="expression" dxfId="116" priority="32">
      <formula>I42&lt;&gt;J42</formula>
    </cfRule>
  </conditionalFormatting>
  <conditionalFormatting sqref="I43">
    <cfRule type="expression" dxfId="115" priority="33">
      <formula>I43&lt;&gt;J43</formula>
    </cfRule>
  </conditionalFormatting>
  <conditionalFormatting sqref="I47">
    <cfRule type="expression" dxfId="114" priority="34">
      <formula>I47&lt;&gt;J47</formula>
    </cfRule>
  </conditionalFormatting>
  <conditionalFormatting sqref="I48">
    <cfRule type="expression" dxfId="113" priority="35">
      <formula>I48&lt;&gt;J48</formula>
    </cfRule>
  </conditionalFormatting>
  <conditionalFormatting sqref="I54">
    <cfRule type="expression" dxfId="112" priority="36">
      <formula>I54&lt;&gt;J54</formula>
    </cfRule>
  </conditionalFormatting>
  <conditionalFormatting sqref="I55">
    <cfRule type="expression" dxfId="111" priority="37">
      <formula>I55&lt;&gt;J55</formula>
    </cfRule>
  </conditionalFormatting>
  <conditionalFormatting sqref="I57">
    <cfRule type="expression" dxfId="110" priority="38">
      <formula>I57&lt;&gt;J57</formula>
    </cfRule>
  </conditionalFormatting>
  <conditionalFormatting sqref="I58">
    <cfRule type="expression" dxfId="109" priority="39">
      <formula>I58&lt;&gt;J58</formula>
    </cfRule>
  </conditionalFormatting>
  <conditionalFormatting sqref="I61">
    <cfRule type="expression" dxfId="108" priority="40">
      <formula>I61&lt;&gt;J61</formula>
    </cfRule>
  </conditionalFormatting>
  <dataValidations count="10">
    <dataValidation type="whole" operator="greaterThan" allowBlank="1" showInputMessage="1" showErrorMessage="1" promptTitle="Liabilities" prompt="should be entered as a negative" sqref="H33:J33">
      <formula1>-999999999</formula1>
    </dataValidation>
    <dataValidation type="whole" operator="greaterThan" allowBlank="1" showInputMessage="1" showErrorMessage="1" promptTitle="If a value is entered here…" prompt="it must be a negative value." sqref="J8">
      <formula1>-999999999</formula1>
    </dataValidation>
    <dataValidation type="whole" operator="greaterThan" allowBlank="1" showInputMessage="1" showErrorMessage="1" errorTitle="Whole numbers only allowed" error="All monies should be independently rounded to the nearest £1,000." sqref="H6:J7">
      <formula1>-99999999</formula1>
    </dataValidation>
    <dataValidation type="whole" operator="greaterThan" allowBlank="1" showInputMessage="1" showErrorMessage="1" errorTitle="Whole numbers only allowed" error="All monies should be independently rounded to the nearest £1,000." sqref="H10:J14">
      <formula1>-99999999</formula1>
    </dataValidation>
    <dataValidation type="whole" operator="greaterThan" allowBlank="1" showInputMessage="1" showErrorMessage="1" errorTitle="Whole numbers only allowed" error="All monies should be independently rounded to the nearest £1,000." sqref="H18:J22">
      <formula1>-99999999</formula1>
    </dataValidation>
    <dataValidation type="whole" operator="greaterThan" allowBlank="1" showInputMessage="1" showErrorMessage="1" errorTitle="Whole numbers only allowed" error="All monies should be independently rounded to the nearest £1,000." sqref="H26:J30">
      <formula1>-99999999</formula1>
    </dataValidation>
    <dataValidation type="whole" operator="greaterThan" allowBlank="1" showInputMessage="1" showErrorMessage="1" errorTitle="Whole numbers only allowed" error="All monies should be independently rounded to the nearest £1,000." sqref="H40:J43">
      <formula1>-99999999</formula1>
    </dataValidation>
    <dataValidation type="whole" operator="greaterThan" allowBlank="1" showInputMessage="1" showErrorMessage="1" errorTitle="Whole numbers only allowed" error="All monies should be independently rounded to the nearest £1,000." sqref="H47:J48">
      <formula1>-99999999</formula1>
    </dataValidation>
    <dataValidation type="whole" allowBlank="1" showInputMessage="1" showErrorMessage="1" promptTitle="If a value is entered here…" prompt="it must be a negative value." sqref="H8">
      <formula1>-999999999</formula1>
      <formula2>0</formula2>
    </dataValidation>
    <dataValidation type="whole" allowBlank="1" showInputMessage="1" showErrorMessage="1" promptTitle="If a value is entered here…" prompt="it must be a negative value." sqref="I8">
      <formula1>-9999999999</formula1>
      <formula2>0</formula2>
    </dataValidation>
  </dataValidations>
  <printOptions headings="1"/>
  <pageMargins left="0.70866141732283472" right="0.70866141732283472" top="0.74803149606299213" bottom="0.74803149606299213"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M47:M48 M54:M55 M33 M18:M22 M40:M43 M26:M30 M61 M57:M58 M6:M8 M10:M14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19"/>
  <sheetViews>
    <sheetView zoomScale="90" zoomScaleNormal="90" workbookViewId="0">
      <selection activeCell="H19" sqref="H19"/>
    </sheetView>
  </sheetViews>
  <sheetFormatPr defaultColWidth="9.140625" defaultRowHeight="15" x14ac:dyDescent="0.25"/>
  <cols>
    <col min="1" max="1" width="12" style="44" bestFit="1" customWidth="1"/>
    <col min="2" max="2" width="2" style="44" customWidth="1"/>
    <col min="3" max="3" width="68.28515625" style="44" bestFit="1" customWidth="1"/>
    <col min="4" max="4" width="3" style="44" hidden="1" customWidth="1"/>
    <col min="5" max="5" width="2.7109375" style="44" hidden="1" customWidth="1"/>
    <col min="6" max="6" width="2.140625" style="44" hidden="1" customWidth="1"/>
    <col min="7" max="7" width="2.28515625" style="44" hidden="1" customWidth="1"/>
    <col min="8" max="8" width="15.7109375" style="44" customWidth="1"/>
    <col min="9" max="9" width="17.140625" style="44" customWidth="1"/>
    <col min="10" max="10" width="14.85546875" style="44" hidden="1" customWidth="1"/>
    <col min="11" max="12" width="14.28515625" style="44" hidden="1" customWidth="1"/>
    <col min="13" max="13" width="53.7109375" style="44" customWidth="1"/>
    <col min="14" max="14" width="9.140625" style="44" customWidth="1"/>
    <col min="15" max="16384" width="9.140625" style="44"/>
  </cols>
  <sheetData>
    <row r="1" spans="1:13" customFormat="1" ht="15.75" customHeight="1" x14ac:dyDescent="0.25">
      <c r="A1" s="258" t="s">
        <v>777</v>
      </c>
      <c r="B1" s="259" t="s">
        <v>778</v>
      </c>
      <c r="C1" s="259"/>
      <c r="D1" s="259"/>
      <c r="E1" s="259"/>
      <c r="F1" s="259"/>
      <c r="G1" s="259"/>
      <c r="H1" s="260"/>
      <c r="I1" s="620" t="s">
        <v>610</v>
      </c>
      <c r="J1" s="620" t="s">
        <v>611</v>
      </c>
      <c r="K1" s="143"/>
      <c r="L1" s="146"/>
      <c r="M1" s="143"/>
    </row>
    <row r="2" spans="1:13" customFormat="1" ht="88.15" customHeight="1" x14ac:dyDescent="0.25">
      <c r="A2" s="261"/>
      <c r="B2" s="262"/>
      <c r="C2" s="262"/>
      <c r="D2" s="262"/>
      <c r="E2" s="262"/>
      <c r="F2" s="262"/>
      <c r="G2" s="262"/>
      <c r="H2" s="263"/>
      <c r="I2" s="621"/>
      <c r="J2" s="621"/>
      <c r="K2" s="143"/>
      <c r="L2" s="146"/>
      <c r="M2" s="150" t="s">
        <v>612</v>
      </c>
    </row>
    <row r="3" spans="1:13" customFormat="1" ht="51.75" customHeight="1" x14ac:dyDescent="0.25">
      <c r="A3" s="261"/>
      <c r="B3" s="262"/>
      <c r="C3" s="262"/>
      <c r="D3" s="262"/>
      <c r="E3" s="262"/>
      <c r="F3" s="262"/>
      <c r="G3" s="264"/>
      <c r="H3" s="232" t="s">
        <v>779</v>
      </c>
      <c r="I3" s="232" t="s">
        <v>780</v>
      </c>
      <c r="J3" s="265" t="s">
        <v>780</v>
      </c>
      <c r="K3" s="143"/>
      <c r="L3" s="149"/>
      <c r="M3" s="156" t="s">
        <v>615</v>
      </c>
    </row>
    <row r="4" spans="1:13" customFormat="1" ht="30" customHeight="1" x14ac:dyDescent="0.25">
      <c r="A4" s="266"/>
      <c r="B4" s="163" t="s">
        <v>729</v>
      </c>
      <c r="C4" s="164"/>
      <c r="D4" s="164"/>
      <c r="E4" s="164"/>
      <c r="F4" s="164"/>
      <c r="G4" s="165"/>
      <c r="H4" s="166"/>
      <c r="I4" s="166"/>
      <c r="J4" s="166"/>
      <c r="K4" s="146" t="s">
        <v>616</v>
      </c>
      <c r="L4" s="146" t="s">
        <v>617</v>
      </c>
      <c r="M4" s="161" t="s">
        <v>618</v>
      </c>
    </row>
    <row r="5" spans="1:13" customFormat="1" ht="12.75" customHeight="1" x14ac:dyDescent="0.25">
      <c r="A5" s="266">
        <v>1</v>
      </c>
      <c r="B5" s="267" t="s">
        <v>722</v>
      </c>
      <c r="C5" s="238"/>
      <c r="D5" s="238"/>
      <c r="E5" s="238"/>
      <c r="F5" s="238"/>
      <c r="G5" s="268"/>
      <c r="H5" s="4"/>
      <c r="I5" s="4"/>
      <c r="J5" s="4"/>
      <c r="K5" s="168" t="s">
        <v>34</v>
      </c>
      <c r="L5" s="168" t="s">
        <v>34</v>
      </c>
      <c r="M5" s="146" t="s">
        <v>620</v>
      </c>
    </row>
    <row r="6" spans="1:13" customFormat="1" ht="12.75" customHeight="1" x14ac:dyDescent="0.25">
      <c r="A6" s="162" t="s">
        <v>621</v>
      </c>
      <c r="B6" s="12"/>
      <c r="C6" s="237" t="s">
        <v>781</v>
      </c>
      <c r="D6" s="238"/>
      <c r="E6" s="238"/>
      <c r="F6" s="238"/>
      <c r="G6" s="269"/>
      <c r="H6" s="10">
        <v>0</v>
      </c>
      <c r="I6" s="10">
        <v>0</v>
      </c>
      <c r="J6" s="21">
        <v>0</v>
      </c>
      <c r="K6" s="176">
        <f t="shared" ref="K6:K11" si="0">H6-I6</f>
        <v>0</v>
      </c>
      <c r="L6" s="176" t="str">
        <f t="shared" ref="L6:L11" si="1">IF(AND(OR(H6=0,I6&lt;&gt;0),OR(I6=0,H6&lt;&gt;0)),IF((H6+I6+K6&lt;&gt;0),IF(AND(OR(H6&gt;0,I6&lt;0),OR(I6&gt;0,H6&lt;0)),ABS(K6/MIN(ABS(I6),ABS(H6))),10),"-"),10)</f>
        <v>-</v>
      </c>
      <c r="M6" s="177"/>
    </row>
    <row r="7" spans="1:13" customFormat="1" ht="12.75" customHeight="1" x14ac:dyDescent="0.25">
      <c r="A7" s="162" t="s">
        <v>623</v>
      </c>
      <c r="B7" s="12"/>
      <c r="C7" s="237" t="s">
        <v>782</v>
      </c>
      <c r="D7" s="238"/>
      <c r="E7" s="238"/>
      <c r="F7" s="238"/>
      <c r="G7" s="269"/>
      <c r="H7" s="10">
        <v>0</v>
      </c>
      <c r="I7" s="10">
        <v>0</v>
      </c>
      <c r="J7" s="21">
        <v>0</v>
      </c>
      <c r="K7" s="176">
        <f t="shared" si="0"/>
        <v>0</v>
      </c>
      <c r="L7" s="176" t="str">
        <f t="shared" si="1"/>
        <v>-</v>
      </c>
      <c r="M7" s="177"/>
    </row>
    <row r="8" spans="1:13" customFormat="1" ht="12.75" customHeight="1" x14ac:dyDescent="0.25">
      <c r="A8" s="162" t="s">
        <v>625</v>
      </c>
      <c r="B8" s="12"/>
      <c r="C8" s="237" t="s">
        <v>783</v>
      </c>
      <c r="D8" s="238"/>
      <c r="E8" s="238"/>
      <c r="F8" s="238"/>
      <c r="G8" s="269"/>
      <c r="H8" s="10">
        <v>0</v>
      </c>
      <c r="I8" s="10">
        <v>0</v>
      </c>
      <c r="J8" s="21">
        <v>0</v>
      </c>
      <c r="K8" s="176">
        <f t="shared" si="0"/>
        <v>0</v>
      </c>
      <c r="L8" s="176" t="str">
        <f t="shared" si="1"/>
        <v>-</v>
      </c>
      <c r="M8" s="177"/>
    </row>
    <row r="9" spans="1:13" customFormat="1" ht="12.75" customHeight="1" x14ac:dyDescent="0.25">
      <c r="A9" s="162" t="s">
        <v>627</v>
      </c>
      <c r="B9" s="12"/>
      <c r="C9" s="237" t="s">
        <v>784</v>
      </c>
      <c r="D9" s="238"/>
      <c r="E9" s="238"/>
      <c r="F9" s="238"/>
      <c r="G9" s="269"/>
      <c r="H9" s="10">
        <v>140833</v>
      </c>
      <c r="I9" s="10">
        <v>145436</v>
      </c>
      <c r="J9" s="21">
        <v>145436</v>
      </c>
      <c r="K9" s="176">
        <f t="shared" si="0"/>
        <v>-4603</v>
      </c>
      <c r="L9" s="176">
        <f t="shared" si="1"/>
        <v>3.268410102745805E-2</v>
      </c>
      <c r="M9" s="177"/>
    </row>
    <row r="10" spans="1:13" customFormat="1" ht="12.75" customHeight="1" x14ac:dyDescent="0.25">
      <c r="A10" s="162" t="s">
        <v>629</v>
      </c>
      <c r="B10" s="12"/>
      <c r="C10" s="237" t="s">
        <v>785</v>
      </c>
      <c r="D10" s="238"/>
      <c r="E10" s="238"/>
      <c r="F10" s="238"/>
      <c r="G10" s="269"/>
      <c r="H10" s="10">
        <v>39167</v>
      </c>
      <c r="I10" s="10">
        <v>49564</v>
      </c>
      <c r="J10" s="21">
        <v>49564</v>
      </c>
      <c r="K10" s="176">
        <f t="shared" si="0"/>
        <v>-10397</v>
      </c>
      <c r="L10" s="176">
        <f t="shared" si="1"/>
        <v>0.26545305997395768</v>
      </c>
      <c r="M10" s="177"/>
    </row>
    <row r="11" spans="1:13" customFormat="1" ht="12.75" customHeight="1" x14ac:dyDescent="0.25">
      <c r="A11" s="162" t="s">
        <v>631</v>
      </c>
      <c r="B11" s="254" t="s">
        <v>786</v>
      </c>
      <c r="C11" s="241"/>
      <c r="D11" s="241"/>
      <c r="E11" s="241"/>
      <c r="F11" s="241"/>
      <c r="G11" s="255"/>
      <c r="H11" s="183">
        <f>SUM(H6:H10)</f>
        <v>180000</v>
      </c>
      <c r="I11" s="183">
        <f>SUM(I6:I10)</f>
        <v>195000</v>
      </c>
      <c r="J11" s="244">
        <f>SUM(J6:J10)</f>
        <v>195000</v>
      </c>
      <c r="K11" s="176">
        <f t="shared" si="0"/>
        <v>-15000</v>
      </c>
      <c r="L11" s="176">
        <f t="shared" si="1"/>
        <v>8.3333333333333329E-2</v>
      </c>
      <c r="M11" s="194"/>
    </row>
    <row r="12" spans="1:13" customFormat="1" ht="12.75" customHeight="1" x14ac:dyDescent="0.25">
      <c r="A12" s="162"/>
      <c r="B12" s="267"/>
      <c r="C12" s="238"/>
      <c r="D12" s="238"/>
      <c r="E12" s="238"/>
      <c r="F12" s="238"/>
      <c r="G12" s="268"/>
      <c r="H12" s="4"/>
      <c r="I12" s="4"/>
      <c r="J12" s="4"/>
      <c r="K12" s="176"/>
      <c r="L12" s="176"/>
    </row>
    <row r="13" spans="1:13" customFormat="1" ht="12.75" customHeight="1" x14ac:dyDescent="0.25">
      <c r="A13" s="162">
        <v>2</v>
      </c>
      <c r="B13" s="267" t="s">
        <v>732</v>
      </c>
      <c r="C13" s="238"/>
      <c r="D13" s="238"/>
      <c r="E13" s="238"/>
      <c r="F13" s="238"/>
      <c r="G13" s="268"/>
      <c r="H13" s="4"/>
      <c r="I13" s="4"/>
      <c r="J13" s="4"/>
      <c r="K13" s="176"/>
      <c r="L13" s="176"/>
    </row>
    <row r="14" spans="1:13" customFormat="1" ht="12.75" customHeight="1" x14ac:dyDescent="0.25">
      <c r="A14" s="162" t="s">
        <v>636</v>
      </c>
      <c r="B14" s="12"/>
      <c r="C14" s="237" t="s">
        <v>781</v>
      </c>
      <c r="D14" s="238"/>
      <c r="E14" s="238"/>
      <c r="F14" s="238"/>
      <c r="G14" s="269"/>
      <c r="H14" s="10">
        <v>0</v>
      </c>
      <c r="I14" s="10">
        <v>0</v>
      </c>
      <c r="J14" s="21">
        <v>0</v>
      </c>
      <c r="K14" s="176">
        <f t="shared" ref="K14:K19" si="2">H14-I14</f>
        <v>0</v>
      </c>
      <c r="L14" s="176" t="str">
        <f t="shared" ref="L14:L19" si="3">IF(AND(OR(H14=0,I14&lt;&gt;0),OR(I14=0,H14&lt;&gt;0)),IF((H14+I14+K14&lt;&gt;0),IF(AND(OR(H14&gt;0,I14&lt;0),OR(I14&gt;0,H14&lt;0)),ABS(K14/MIN(ABS(I14),ABS(H14))),10),"-"),10)</f>
        <v>-</v>
      </c>
      <c r="M14" s="177"/>
    </row>
    <row r="15" spans="1:13" customFormat="1" ht="12.75" customHeight="1" x14ac:dyDescent="0.25">
      <c r="A15" s="162" t="s">
        <v>638</v>
      </c>
      <c r="B15" s="12"/>
      <c r="C15" s="237" t="s">
        <v>782</v>
      </c>
      <c r="D15" s="238"/>
      <c r="E15" s="238"/>
      <c r="F15" s="238"/>
      <c r="G15" s="269"/>
      <c r="H15" s="10">
        <v>0</v>
      </c>
      <c r="I15" s="10">
        <v>0</v>
      </c>
      <c r="J15" s="21">
        <v>0</v>
      </c>
      <c r="K15" s="176">
        <f t="shared" si="2"/>
        <v>0</v>
      </c>
      <c r="L15" s="176" t="str">
        <f t="shared" si="3"/>
        <v>-</v>
      </c>
      <c r="M15" s="177"/>
    </row>
    <row r="16" spans="1:13" customFormat="1" ht="12.75" customHeight="1" x14ac:dyDescent="0.25">
      <c r="A16" s="162" t="s">
        <v>640</v>
      </c>
      <c r="B16" s="12"/>
      <c r="C16" s="237" t="s">
        <v>783</v>
      </c>
      <c r="D16" s="238"/>
      <c r="E16" s="238"/>
      <c r="F16" s="238"/>
      <c r="G16" s="269"/>
      <c r="H16" s="10">
        <v>0</v>
      </c>
      <c r="I16" s="10">
        <v>0</v>
      </c>
      <c r="J16" s="21">
        <v>0</v>
      </c>
      <c r="K16" s="176">
        <f t="shared" si="2"/>
        <v>0</v>
      </c>
      <c r="L16" s="176" t="str">
        <f t="shared" si="3"/>
        <v>-</v>
      </c>
      <c r="M16" s="177"/>
    </row>
    <row r="17" spans="1:13" customFormat="1" ht="12.75" customHeight="1" x14ac:dyDescent="0.25">
      <c r="A17" s="162" t="s">
        <v>642</v>
      </c>
      <c r="B17" s="12"/>
      <c r="C17" s="237" t="s">
        <v>784</v>
      </c>
      <c r="D17" s="238"/>
      <c r="E17" s="238"/>
      <c r="F17" s="238"/>
      <c r="G17" s="269"/>
      <c r="H17" s="10">
        <v>0</v>
      </c>
      <c r="I17" s="10">
        <v>0</v>
      </c>
      <c r="J17" s="21">
        <v>0</v>
      </c>
      <c r="K17" s="176">
        <f t="shared" si="2"/>
        <v>0</v>
      </c>
      <c r="L17" s="176" t="str">
        <f t="shared" si="3"/>
        <v>-</v>
      </c>
      <c r="M17" s="177"/>
    </row>
    <row r="18" spans="1:13" customFormat="1" ht="12.75" customHeight="1" x14ac:dyDescent="0.25">
      <c r="A18" s="162" t="s">
        <v>644</v>
      </c>
      <c r="B18" s="12"/>
      <c r="C18" s="237" t="s">
        <v>787</v>
      </c>
      <c r="D18" s="238"/>
      <c r="E18" s="238"/>
      <c r="F18" s="238"/>
      <c r="G18" s="269"/>
      <c r="H18" s="10">
        <v>236081</v>
      </c>
      <c r="I18" s="10">
        <v>250207</v>
      </c>
      <c r="J18" s="21">
        <v>250207</v>
      </c>
      <c r="K18" s="176">
        <f t="shared" si="2"/>
        <v>-14126</v>
      </c>
      <c r="L18" s="176">
        <f t="shared" si="3"/>
        <v>5.9835395478670457E-2</v>
      </c>
      <c r="M18" s="177"/>
    </row>
    <row r="19" spans="1:13" customFormat="1" ht="12.75" customHeight="1" x14ac:dyDescent="0.25">
      <c r="A19" s="162" t="s">
        <v>646</v>
      </c>
      <c r="B19" s="254" t="s">
        <v>788</v>
      </c>
      <c r="C19" s="241"/>
      <c r="D19" s="241"/>
      <c r="E19" s="241"/>
      <c r="F19" s="241"/>
      <c r="G19" s="255"/>
      <c r="H19" s="183">
        <f>SUM(H14:H18)</f>
        <v>236081</v>
      </c>
      <c r="I19" s="183">
        <f>SUM(I14:I18)</f>
        <v>250207</v>
      </c>
      <c r="J19" s="244">
        <f>SUM(J14:J18)</f>
        <v>250207</v>
      </c>
      <c r="K19" s="176">
        <f t="shared" si="2"/>
        <v>-14126</v>
      </c>
      <c r="L19" s="176">
        <f t="shared" si="3"/>
        <v>5.9835395478670457E-2</v>
      </c>
      <c r="M19" s="194"/>
    </row>
  </sheetData>
  <sheetProtection algorithmName="SHA-512" hashValue="W2TgSEHf1nZfpMalIIgEmc8IxdvGi8nDzCnxzeHZ89k+8O8bK7KlAA2nHIodPGwuTx6ow1eWtcLHbW7EF0GHnw==" saltValue="1KZelGAn8t6gBXrwVOEs4w==" spinCount="100000" sheet="1" objects="1" scenarios="1"/>
  <mergeCells count="2">
    <mergeCell ref="I1:I2"/>
    <mergeCell ref="J1:J2"/>
  </mergeCells>
  <conditionalFormatting sqref="M6:M10">
    <cfRule type="expression" dxfId="107" priority="1">
      <formula>AND(OR((L6)&gt;2,(L6)&lt;-2),(L6)&lt;&gt;"-",OR((K6)&gt;750,(K6)&lt;-750))</formula>
    </cfRule>
  </conditionalFormatting>
  <conditionalFormatting sqref="I6">
    <cfRule type="expression" dxfId="106" priority="2">
      <formula>I6&lt;&gt;J6</formula>
    </cfRule>
  </conditionalFormatting>
  <conditionalFormatting sqref="I7">
    <cfRule type="expression" dxfId="105" priority="3">
      <formula>I7&lt;&gt;J7</formula>
    </cfRule>
  </conditionalFormatting>
  <conditionalFormatting sqref="I8">
    <cfRule type="expression" dxfId="104" priority="4">
      <formula>I8&lt;&gt;J8</formula>
    </cfRule>
  </conditionalFormatting>
  <conditionalFormatting sqref="I9">
    <cfRule type="expression" dxfId="103" priority="5">
      <formula>I9&lt;&gt;J9</formula>
    </cfRule>
  </conditionalFormatting>
  <conditionalFormatting sqref="I10">
    <cfRule type="expression" dxfId="102" priority="6">
      <formula>I10&lt;&gt;J10</formula>
    </cfRule>
  </conditionalFormatting>
  <conditionalFormatting sqref="I14">
    <cfRule type="expression" dxfId="101" priority="7">
      <formula>I14&lt;&gt;J14</formula>
    </cfRule>
  </conditionalFormatting>
  <conditionalFormatting sqref="I15">
    <cfRule type="expression" dxfId="100" priority="8">
      <formula>I15&lt;&gt;J15</formula>
    </cfRule>
  </conditionalFormatting>
  <conditionalFormatting sqref="I16">
    <cfRule type="expression" dxfId="99" priority="9">
      <formula>I16&lt;&gt;J16</formula>
    </cfRule>
  </conditionalFormatting>
  <conditionalFormatting sqref="I17">
    <cfRule type="expression" dxfId="98" priority="10">
      <formula>I17&lt;&gt;J17</formula>
    </cfRule>
  </conditionalFormatting>
  <conditionalFormatting sqref="I18">
    <cfRule type="expression" dxfId="97" priority="11">
      <formula>I18&lt;&gt;J18</formula>
    </cfRule>
  </conditionalFormatting>
  <conditionalFormatting sqref="M14:M18">
    <cfRule type="expression" dxfId="96" priority="12">
      <formula>AND(OR((L14)&gt;2,(L14)&lt;-2),(L14)&lt;&gt;"-",OR((K14)&gt;750,(K14)&lt;-750))</formula>
    </cfRule>
  </conditionalFormatting>
  <dataValidations count="2">
    <dataValidation type="whole" operator="greaterThan" allowBlank="1" showInputMessage="1" showErrorMessage="1" errorTitle="Whole numbers only allowed" error="All monies should be independently rounded to the nearest £1,000." sqref="H6:J10">
      <formula1>-99999999</formula1>
    </dataValidation>
    <dataValidation type="whole" operator="greaterThan" allowBlank="1" showInputMessage="1" showErrorMessage="1" errorTitle="Whole numbers only allowed" error="All monies should be independently rounded to the nearest £1,000." sqref="H14:J18">
      <formula1>-99999999</formula1>
    </dataValidation>
  </dataValidations>
  <printOptions headings="1"/>
  <pageMargins left="0.70866141732283472" right="0.70866141732283472" top="0.74803149606299213" bottom="0.74803149606299213" header="0.31496062992125984" footer="0.31496062992125984"/>
  <pageSetup paperSize="9" scale="5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M14:M18 M6:M10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60"/>
  <sheetViews>
    <sheetView topLeftCell="A31" zoomScale="90" zoomScaleNormal="90" workbookViewId="0">
      <selection activeCell="H48" sqref="H48:H54"/>
    </sheetView>
  </sheetViews>
  <sheetFormatPr defaultColWidth="9.140625" defaultRowHeight="12.75" x14ac:dyDescent="0.2"/>
  <cols>
    <col min="1" max="1" width="10.28515625" style="199" customWidth="1"/>
    <col min="2" max="2" width="2.28515625" style="143" customWidth="1"/>
    <col min="3" max="3" width="60.85546875" style="143" customWidth="1"/>
    <col min="4" max="4" width="1.85546875" style="143" hidden="1" customWidth="1"/>
    <col min="5" max="6" width="1.5703125" style="143" hidden="1" customWidth="1"/>
    <col min="7" max="7" width="2.28515625" style="143" hidden="1" customWidth="1"/>
    <col min="8" max="8" width="16.140625" style="143" bestFit="1" customWidth="1"/>
    <col min="9" max="9" width="16.5703125" style="143" customWidth="1"/>
    <col min="10" max="10" width="17.28515625" style="143" hidden="1" customWidth="1"/>
    <col min="11" max="11" width="14.28515625" style="143" hidden="1" customWidth="1"/>
    <col min="12" max="12" width="18.28515625" style="143" hidden="1" customWidth="1"/>
    <col min="13" max="13" width="13.85546875" style="143" hidden="1" customWidth="1"/>
    <col min="14" max="14" width="43.85546875" style="143" customWidth="1"/>
    <col min="15" max="15" width="9.140625" style="143" customWidth="1"/>
    <col min="16" max="16384" width="9.140625" style="143"/>
  </cols>
  <sheetData>
    <row r="1" spans="1:13" customFormat="1" ht="34.5" customHeight="1" x14ac:dyDescent="0.25">
      <c r="A1" s="226" t="s">
        <v>789</v>
      </c>
      <c r="B1" s="619" t="s">
        <v>790</v>
      </c>
      <c r="C1" s="619"/>
      <c r="D1" s="201"/>
      <c r="E1" s="201"/>
      <c r="F1" s="201"/>
      <c r="G1" s="201"/>
      <c r="H1" s="201"/>
      <c r="I1" s="620" t="s">
        <v>610</v>
      </c>
      <c r="J1" s="620" t="s">
        <v>611</v>
      </c>
      <c r="L1" s="146"/>
      <c r="M1" s="146"/>
    </row>
    <row r="2" spans="1:13" customFormat="1" ht="70.5" customHeight="1" x14ac:dyDescent="0.25">
      <c r="A2" s="147"/>
      <c r="B2" s="148"/>
      <c r="C2" s="148"/>
      <c r="D2" s="148"/>
      <c r="E2" s="148"/>
      <c r="F2" s="148"/>
      <c r="G2" s="148"/>
      <c r="H2" s="270"/>
      <c r="I2" s="621"/>
      <c r="J2" s="621"/>
      <c r="K2" s="143"/>
      <c r="L2" s="149"/>
      <c r="M2" s="149"/>
    </row>
    <row r="3" spans="1:13" customFormat="1" ht="33.75" customHeight="1" x14ac:dyDescent="0.25">
      <c r="A3" s="271"/>
      <c r="B3" s="262"/>
      <c r="C3" s="262"/>
      <c r="D3" s="262"/>
      <c r="E3" s="262"/>
      <c r="F3" s="262"/>
      <c r="G3" s="264"/>
      <c r="H3" s="272" t="s">
        <v>613</v>
      </c>
      <c r="I3" s="272" t="s">
        <v>614</v>
      </c>
      <c r="J3" s="272" t="s">
        <v>614</v>
      </c>
      <c r="K3" s="149"/>
      <c r="L3" s="149"/>
      <c r="M3" s="149"/>
    </row>
    <row r="4" spans="1:13" customFormat="1" ht="30" customHeight="1" x14ac:dyDescent="0.25">
      <c r="A4" s="271"/>
      <c r="B4" s="273"/>
      <c r="C4" s="273"/>
      <c r="D4" s="273"/>
      <c r="E4" s="273"/>
      <c r="F4" s="273"/>
      <c r="G4" s="274"/>
      <c r="H4" s="275" t="s">
        <v>616</v>
      </c>
      <c r="I4" s="275" t="s">
        <v>616</v>
      </c>
      <c r="J4" s="275" t="s">
        <v>616</v>
      </c>
      <c r="K4" s="146" t="s">
        <v>616</v>
      </c>
      <c r="L4" s="146" t="s">
        <v>617</v>
      </c>
      <c r="M4" s="146"/>
    </row>
    <row r="5" spans="1:13" customFormat="1" ht="12.95" customHeight="1" x14ac:dyDescent="0.25">
      <c r="A5" s="162">
        <v>1</v>
      </c>
      <c r="B5" s="163" t="s">
        <v>791</v>
      </c>
      <c r="C5" s="164"/>
      <c r="D5" s="164"/>
      <c r="E5" s="164"/>
      <c r="F5" s="164"/>
      <c r="G5" s="165"/>
      <c r="H5" s="166"/>
      <c r="I5" s="166"/>
      <c r="J5" s="166"/>
      <c r="K5" s="168" t="s">
        <v>34</v>
      </c>
      <c r="L5" s="168" t="s">
        <v>34</v>
      </c>
      <c r="M5" s="168"/>
    </row>
    <row r="6" spans="1:13" x14ac:dyDescent="0.2">
      <c r="A6" s="162" t="s">
        <v>621</v>
      </c>
      <c r="B6" s="276"/>
      <c r="C6" s="277" t="s">
        <v>792</v>
      </c>
      <c r="D6" s="277"/>
      <c r="E6" s="277"/>
      <c r="F6" s="277"/>
      <c r="G6" s="278"/>
      <c r="H6" s="15">
        <f>Table_1_UK!H36</f>
        <v>69978</v>
      </c>
      <c r="I6" s="173">
        <v>130441</v>
      </c>
      <c r="J6" s="196">
        <v>130441</v>
      </c>
      <c r="K6" s="176">
        <f>H6-I6</f>
        <v>-60463</v>
      </c>
      <c r="L6" s="176">
        <f>IF(AND(OR(H6=0,I6&lt;&gt;0),OR(I6=0,H6&lt;&gt;0)),IF((H6+I6+K6&lt;&gt;0),IF(AND(OR(H6&gt;0,I6&lt;0),OR(I6&gt;0,H6&lt;0)),ABS(K6/MIN(ABS(I6),ABS(H6))),10),"-"),10)</f>
        <v>0.86402869473263022</v>
      </c>
      <c r="M6" s="176"/>
    </row>
    <row r="7" spans="1:13" x14ac:dyDescent="0.2">
      <c r="A7" s="162"/>
      <c r="B7" s="276"/>
      <c r="C7" s="277"/>
      <c r="D7" s="277"/>
      <c r="E7" s="277"/>
      <c r="F7" s="277"/>
      <c r="G7" s="278"/>
      <c r="H7" s="186"/>
      <c r="I7" s="186"/>
      <c r="J7" s="186"/>
      <c r="K7" s="176"/>
      <c r="L7" s="176"/>
      <c r="M7" s="176"/>
    </row>
    <row r="8" spans="1:13" x14ac:dyDescent="0.2">
      <c r="A8" s="162">
        <v>2</v>
      </c>
      <c r="B8" s="163" t="s">
        <v>793</v>
      </c>
      <c r="C8" s="164"/>
      <c r="D8" s="164"/>
      <c r="E8" s="164"/>
      <c r="F8" s="164"/>
      <c r="G8" s="165"/>
      <c r="H8" s="187"/>
      <c r="I8" s="187"/>
      <c r="J8" s="187"/>
      <c r="K8" s="176"/>
      <c r="L8" s="176"/>
      <c r="M8" s="176"/>
    </row>
    <row r="9" spans="1:13" x14ac:dyDescent="0.2">
      <c r="A9" s="162" t="s">
        <v>636</v>
      </c>
      <c r="B9" s="279"/>
      <c r="C9" s="237" t="s">
        <v>643</v>
      </c>
      <c r="D9" s="238"/>
      <c r="E9" s="238"/>
      <c r="F9" s="238"/>
      <c r="G9" s="239"/>
      <c r="H9" s="173">
        <v>60197</v>
      </c>
      <c r="I9" s="173">
        <v>46700</v>
      </c>
      <c r="J9" s="196">
        <v>46700</v>
      </c>
      <c r="K9" s="176">
        <f t="shared" ref="K9:K22" si="0">H9-I9</f>
        <v>13497</v>
      </c>
      <c r="L9" s="176">
        <f t="shared" ref="L9:L22" si="1">IF(AND(OR(H9=0,I9&lt;&gt;0),OR(I9=0,H9&lt;&gt;0)),IF((H9+I9+K9&lt;&gt;0),IF(AND(OR(H9&gt;0,I9&lt;0),OR(I9&gt;0,H9&lt;0)),ABS(K9/MIN(ABS(I9),ABS(H9))),10),"-"),10)</f>
        <v>0.28901498929336189</v>
      </c>
      <c r="M9" s="176"/>
    </row>
    <row r="10" spans="1:13" x14ac:dyDescent="0.2">
      <c r="A10" s="162" t="s">
        <v>638</v>
      </c>
      <c r="B10" s="267"/>
      <c r="C10" s="237" t="s">
        <v>794</v>
      </c>
      <c r="D10" s="171"/>
      <c r="E10" s="171"/>
      <c r="F10" s="13"/>
      <c r="G10" s="239"/>
      <c r="H10" s="173">
        <v>0</v>
      </c>
      <c r="I10" s="173">
        <v>0</v>
      </c>
      <c r="J10" s="196">
        <v>0</v>
      </c>
      <c r="K10" s="176">
        <f t="shared" si="0"/>
        <v>0</v>
      </c>
      <c r="L10" s="176" t="str">
        <f t="shared" si="1"/>
        <v>-</v>
      </c>
      <c r="M10" s="176"/>
    </row>
    <row r="11" spans="1:13" x14ac:dyDescent="0.2">
      <c r="A11" s="162" t="s">
        <v>640</v>
      </c>
      <c r="B11" s="267"/>
      <c r="C11" s="237" t="s">
        <v>795</v>
      </c>
      <c r="D11" s="171"/>
      <c r="E11" s="171"/>
      <c r="F11" s="13"/>
      <c r="G11" s="239"/>
      <c r="H11" s="173">
        <v>0</v>
      </c>
      <c r="I11" s="173">
        <v>0</v>
      </c>
      <c r="J11" s="196">
        <v>0</v>
      </c>
      <c r="K11" s="176">
        <f t="shared" si="0"/>
        <v>0</v>
      </c>
      <c r="L11" s="176" t="str">
        <f t="shared" si="1"/>
        <v>-</v>
      </c>
      <c r="M11" s="176"/>
    </row>
    <row r="12" spans="1:13" x14ac:dyDescent="0.2">
      <c r="A12" s="162" t="s">
        <v>642</v>
      </c>
      <c r="B12" s="267"/>
      <c r="C12" s="237" t="s">
        <v>796</v>
      </c>
      <c r="D12" s="238"/>
      <c r="E12" s="238"/>
      <c r="F12" s="238"/>
      <c r="G12" s="239"/>
      <c r="H12" s="173">
        <v>0</v>
      </c>
      <c r="I12" s="173">
        <v>0</v>
      </c>
      <c r="J12" s="196">
        <v>0</v>
      </c>
      <c r="K12" s="176">
        <f t="shared" si="0"/>
        <v>0</v>
      </c>
      <c r="L12" s="176" t="str">
        <f t="shared" si="1"/>
        <v>-</v>
      </c>
      <c r="M12" s="176"/>
    </row>
    <row r="13" spans="1:13" x14ac:dyDescent="0.2">
      <c r="A13" s="162" t="s">
        <v>644</v>
      </c>
      <c r="B13" s="267"/>
      <c r="C13" s="237" t="s">
        <v>797</v>
      </c>
      <c r="D13" s="238"/>
      <c r="E13" s="238"/>
      <c r="F13" s="238"/>
      <c r="G13" s="239"/>
      <c r="H13" s="196">
        <f>-Table_1_UK!H25</f>
        <v>-42357</v>
      </c>
      <c r="I13" s="173">
        <v>-66209</v>
      </c>
      <c r="J13" s="196">
        <v>-66209</v>
      </c>
      <c r="K13" s="176">
        <f t="shared" si="0"/>
        <v>23852</v>
      </c>
      <c r="L13" s="176">
        <f t="shared" si="1"/>
        <v>0.56311825672261961</v>
      </c>
      <c r="M13" s="176"/>
    </row>
    <row r="14" spans="1:13" x14ac:dyDescent="0.2">
      <c r="A14" s="162" t="s">
        <v>646</v>
      </c>
      <c r="B14" s="267"/>
      <c r="C14" s="237" t="s">
        <v>798</v>
      </c>
      <c r="D14" s="238"/>
      <c r="E14" s="238"/>
      <c r="F14" s="238"/>
      <c r="G14" s="239"/>
      <c r="H14" s="173">
        <v>85</v>
      </c>
      <c r="I14" s="173">
        <v>-293</v>
      </c>
      <c r="J14" s="196">
        <v>-293</v>
      </c>
      <c r="K14" s="176">
        <f t="shared" si="0"/>
        <v>378</v>
      </c>
      <c r="L14" s="176">
        <f t="shared" si="1"/>
        <v>10</v>
      </c>
      <c r="M14" s="176"/>
    </row>
    <row r="15" spans="1:13" x14ac:dyDescent="0.2">
      <c r="A15" s="162" t="s">
        <v>799</v>
      </c>
      <c r="B15" s="267"/>
      <c r="C15" s="237" t="s">
        <v>800</v>
      </c>
      <c r="D15" s="238"/>
      <c r="E15" s="238"/>
      <c r="F15" s="238"/>
      <c r="G15" s="239"/>
      <c r="H15" s="173">
        <v>-10841</v>
      </c>
      <c r="I15" s="173">
        <v>12126</v>
      </c>
      <c r="J15" s="196">
        <v>12126</v>
      </c>
      <c r="K15" s="176">
        <f t="shared" si="0"/>
        <v>-22967</v>
      </c>
      <c r="L15" s="176">
        <f t="shared" si="1"/>
        <v>10</v>
      </c>
      <c r="M15" s="176"/>
    </row>
    <row r="16" spans="1:13" x14ac:dyDescent="0.2">
      <c r="A16" s="162" t="s">
        <v>801</v>
      </c>
      <c r="B16" s="267"/>
      <c r="C16" s="237" t="s">
        <v>802</v>
      </c>
      <c r="D16" s="238"/>
      <c r="E16" s="238"/>
      <c r="F16" s="238"/>
      <c r="G16" s="239"/>
      <c r="H16" s="173">
        <v>22700</v>
      </c>
      <c r="I16" s="173">
        <v>29645</v>
      </c>
      <c r="J16" s="196">
        <v>29645</v>
      </c>
      <c r="K16" s="176">
        <f t="shared" si="0"/>
        <v>-6945</v>
      </c>
      <c r="L16" s="176">
        <f t="shared" si="1"/>
        <v>0.30594713656387668</v>
      </c>
      <c r="M16" s="176"/>
    </row>
    <row r="17" spans="1:18" x14ac:dyDescent="0.2">
      <c r="A17" s="162" t="s">
        <v>803</v>
      </c>
      <c r="B17" s="267"/>
      <c r="C17" s="237" t="s">
        <v>804</v>
      </c>
      <c r="D17" s="238"/>
      <c r="E17" s="238"/>
      <c r="F17" s="238"/>
      <c r="G17" s="239"/>
      <c r="H17" s="173">
        <v>-1400</v>
      </c>
      <c r="I17" s="173">
        <v>-2324</v>
      </c>
      <c r="J17" s="196">
        <v>-2324</v>
      </c>
      <c r="K17" s="176">
        <f t="shared" si="0"/>
        <v>924</v>
      </c>
      <c r="L17" s="176">
        <f t="shared" si="1"/>
        <v>0.66</v>
      </c>
      <c r="M17" s="176"/>
    </row>
    <row r="18" spans="1:18" x14ac:dyDescent="0.2">
      <c r="A18" s="162" t="s">
        <v>805</v>
      </c>
      <c r="B18" s="267"/>
      <c r="C18" s="237" t="s">
        <v>806</v>
      </c>
      <c r="D18" s="238"/>
      <c r="E18" s="238"/>
      <c r="F18" s="238"/>
      <c r="G18" s="239"/>
      <c r="H18" s="173">
        <v>0</v>
      </c>
      <c r="I18" s="173">
        <v>0</v>
      </c>
      <c r="J18" s="196">
        <v>0</v>
      </c>
      <c r="K18" s="176">
        <f t="shared" si="0"/>
        <v>0</v>
      </c>
      <c r="L18" s="176" t="str">
        <f t="shared" si="1"/>
        <v>-</v>
      </c>
      <c r="M18" s="176"/>
    </row>
    <row r="19" spans="1:18" x14ac:dyDescent="0.2">
      <c r="A19" s="162" t="s">
        <v>807</v>
      </c>
      <c r="B19" s="267"/>
      <c r="C19" s="237" t="s">
        <v>808</v>
      </c>
      <c r="D19" s="238"/>
      <c r="E19" s="238"/>
      <c r="F19" s="238"/>
      <c r="G19" s="239"/>
      <c r="H19" s="173">
        <v>0</v>
      </c>
      <c r="I19" s="173">
        <v>0</v>
      </c>
      <c r="J19" s="196">
        <v>0</v>
      </c>
      <c r="K19" s="176">
        <f t="shared" si="0"/>
        <v>0</v>
      </c>
      <c r="L19" s="176" t="str">
        <f t="shared" si="1"/>
        <v>-</v>
      </c>
      <c r="M19" s="176"/>
    </row>
    <row r="20" spans="1:18" x14ac:dyDescent="0.2">
      <c r="A20" s="162" t="s">
        <v>809</v>
      </c>
      <c r="B20" s="267"/>
      <c r="C20" s="237" t="s">
        <v>810</v>
      </c>
      <c r="D20" s="238"/>
      <c r="E20" s="238"/>
      <c r="F20" s="238"/>
      <c r="G20" s="239"/>
      <c r="H20" s="196">
        <f>-Table_1_UK!H26</f>
        <v>0</v>
      </c>
      <c r="I20" s="173">
        <v>0</v>
      </c>
      <c r="J20" s="196">
        <v>0</v>
      </c>
      <c r="K20" s="176">
        <f t="shared" si="0"/>
        <v>0</v>
      </c>
      <c r="L20" s="176" t="str">
        <f t="shared" si="1"/>
        <v>-</v>
      </c>
      <c r="M20" s="176"/>
    </row>
    <row r="21" spans="1:18" x14ac:dyDescent="0.2">
      <c r="A21" s="162" t="s">
        <v>811</v>
      </c>
      <c r="B21" s="267"/>
      <c r="C21" s="237" t="s">
        <v>812</v>
      </c>
      <c r="D21" s="238"/>
      <c r="E21" s="238"/>
      <c r="F21" s="238"/>
      <c r="G21" s="239"/>
      <c r="H21" s="196">
        <f>-Table_1_UK!H27</f>
        <v>0</v>
      </c>
      <c r="I21" s="173">
        <v>0</v>
      </c>
      <c r="J21" s="196">
        <v>0</v>
      </c>
      <c r="K21" s="176">
        <f t="shared" si="0"/>
        <v>0</v>
      </c>
      <c r="L21" s="176" t="str">
        <f t="shared" si="1"/>
        <v>-</v>
      </c>
      <c r="M21" s="176"/>
      <c r="N21" s="143" t="s">
        <v>813</v>
      </c>
    </row>
    <row r="22" spans="1:18" x14ac:dyDescent="0.2">
      <c r="A22" s="162" t="s">
        <v>814</v>
      </c>
      <c r="B22" s="279"/>
      <c r="C22" s="237" t="s">
        <v>8</v>
      </c>
      <c r="D22" s="238"/>
      <c r="E22" s="238"/>
      <c r="F22" s="238"/>
      <c r="G22" s="239"/>
      <c r="H22" s="173">
        <v>0</v>
      </c>
      <c r="I22" s="173">
        <v>0</v>
      </c>
      <c r="J22" s="196">
        <v>0</v>
      </c>
      <c r="K22" s="176">
        <f t="shared" si="0"/>
        <v>0</v>
      </c>
      <c r="L22" s="176" t="str">
        <f t="shared" si="1"/>
        <v>-</v>
      </c>
      <c r="M22" s="176"/>
      <c r="N22" s="280"/>
      <c r="O22" s="224"/>
      <c r="P22" s="224"/>
      <c r="Q22" s="224"/>
      <c r="R22" s="224"/>
    </row>
    <row r="23" spans="1:18" x14ac:dyDescent="0.2">
      <c r="A23" s="162"/>
      <c r="B23" s="236"/>
      <c r="C23" s="238"/>
      <c r="D23" s="238"/>
      <c r="E23" s="238"/>
      <c r="F23" s="238"/>
      <c r="G23" s="239"/>
      <c r="H23" s="186"/>
      <c r="I23" s="186"/>
      <c r="J23" s="186"/>
      <c r="K23" s="176"/>
      <c r="L23" s="176"/>
      <c r="M23" s="176"/>
      <c r="N23" s="224"/>
      <c r="O23" s="224"/>
      <c r="P23" s="224"/>
      <c r="Q23" s="224"/>
      <c r="R23" s="224"/>
    </row>
    <row r="24" spans="1:18" x14ac:dyDescent="0.2">
      <c r="A24" s="162">
        <v>3</v>
      </c>
      <c r="B24" s="163" t="s">
        <v>815</v>
      </c>
      <c r="C24" s="164"/>
      <c r="D24" s="164"/>
      <c r="E24" s="164"/>
      <c r="F24" s="164"/>
      <c r="G24" s="165"/>
      <c r="H24" s="187"/>
      <c r="I24" s="187"/>
      <c r="J24" s="187"/>
      <c r="K24" s="176"/>
      <c r="L24" s="176"/>
      <c r="M24" s="176"/>
      <c r="N24" s="224"/>
      <c r="O24" s="224"/>
      <c r="P24" s="224"/>
      <c r="Q24" s="224"/>
      <c r="R24" s="224"/>
    </row>
    <row r="25" spans="1:18" x14ac:dyDescent="0.2">
      <c r="A25" s="162" t="s">
        <v>736</v>
      </c>
      <c r="B25" s="281"/>
      <c r="C25" s="170" t="s">
        <v>630</v>
      </c>
      <c r="D25" s="171"/>
      <c r="E25" s="171"/>
      <c r="F25" s="171"/>
      <c r="G25" s="172"/>
      <c r="H25" s="173">
        <v>-14593</v>
      </c>
      <c r="I25" s="173">
        <v>-14548</v>
      </c>
      <c r="J25" s="196">
        <v>-14548</v>
      </c>
      <c r="K25" s="176">
        <f>H25-I25</f>
        <v>-45</v>
      </c>
      <c r="L25" s="176">
        <f>IF(AND(OR(H25=0,I25&lt;&gt;0),OR(I25=0,H25&lt;&gt;0)),IF((H25+I25+K25&lt;&gt;0),IF(AND(OR(H25&gt;0,I25&lt;0),OR(I25&gt;0,H25&lt;0)),ABS(K25/MIN(ABS(I25),ABS(H25))),10),"-"),10)</f>
        <v>3.0932086884795161E-3</v>
      </c>
      <c r="M25" s="176"/>
    </row>
    <row r="26" spans="1:18" x14ac:dyDescent="0.2">
      <c r="A26" s="162" t="s">
        <v>738</v>
      </c>
      <c r="B26" s="281"/>
      <c r="C26" s="170" t="s">
        <v>816</v>
      </c>
      <c r="D26" s="171"/>
      <c r="E26" s="171"/>
      <c r="F26" s="171"/>
      <c r="G26" s="172"/>
      <c r="H26" s="173">
        <v>16841</v>
      </c>
      <c r="I26" s="173">
        <v>14276</v>
      </c>
      <c r="J26" s="196">
        <v>14276</v>
      </c>
      <c r="K26" s="176">
        <f>H26-I26</f>
        <v>2565</v>
      </c>
      <c r="L26" s="176">
        <f>IF(AND(OR(H26=0,I26&lt;&gt;0),OR(I26=0,H26&lt;&gt;0)),IF((H26+I26+K26&lt;&gt;0),IF(AND(OR(H26&gt;0,I26&lt;0),OR(I26&gt;0,H26&lt;0)),ABS(K26/MIN(ABS(I26),ABS(H26))),10),"-"),10)</f>
        <v>0.17967217708041469</v>
      </c>
      <c r="M26" s="176"/>
    </row>
    <row r="27" spans="1:18" x14ac:dyDescent="0.2">
      <c r="A27" s="162" t="s">
        <v>740</v>
      </c>
      <c r="B27" s="281"/>
      <c r="C27" s="170" t="s">
        <v>817</v>
      </c>
      <c r="D27" s="171"/>
      <c r="E27" s="171"/>
      <c r="F27" s="171"/>
      <c r="G27" s="172"/>
      <c r="H27" s="173">
        <v>-1394</v>
      </c>
      <c r="I27" s="173">
        <v>-1714</v>
      </c>
      <c r="J27" s="196">
        <v>-1714</v>
      </c>
      <c r="K27" s="176">
        <f>H27-I27</f>
        <v>320</v>
      </c>
      <c r="L27" s="176">
        <f>IF(AND(OR(H27=0,I27&lt;&gt;0),OR(I27=0,H27&lt;&gt;0)),IF((H27+I27+K27&lt;&gt;0),IF(AND(OR(H27&gt;0,I27&lt;0),OR(I27&gt;0,H27&lt;0)),ABS(K27/MIN(ABS(I27),ABS(H27))),10),"-"),10)</f>
        <v>0.22955523672883787</v>
      </c>
      <c r="M27" s="176"/>
    </row>
    <row r="28" spans="1:18" x14ac:dyDescent="0.2">
      <c r="A28" s="162" t="s">
        <v>742</v>
      </c>
      <c r="B28" s="281"/>
      <c r="C28" s="170" t="s">
        <v>818</v>
      </c>
      <c r="D28" s="171"/>
      <c r="E28" s="171"/>
      <c r="F28" s="171"/>
      <c r="G28" s="172"/>
      <c r="H28" s="173">
        <v>-187</v>
      </c>
      <c r="I28" s="173">
        <v>-8048</v>
      </c>
      <c r="J28" s="196">
        <v>-8048</v>
      </c>
      <c r="K28" s="176">
        <f>H28-I28</f>
        <v>7861</v>
      </c>
      <c r="L28" s="176">
        <f>IF(AND(OR(H28=0,I28&lt;&gt;0),OR(I28=0,H28&lt;&gt;0)),IF((H28+I28+K28&lt;&gt;0),IF(AND(OR(H28&gt;0,I28&lt;0),OR(I28&gt;0,H28&lt;0)),ABS(K28/MIN(ABS(I28),ABS(H28))),10),"-"),10)</f>
        <v>42.037433155080215</v>
      </c>
      <c r="M28" s="176"/>
    </row>
    <row r="29" spans="1:18" x14ac:dyDescent="0.2">
      <c r="A29" s="162" t="s">
        <v>744</v>
      </c>
      <c r="B29" s="281"/>
      <c r="C29" s="170" t="s">
        <v>819</v>
      </c>
      <c r="D29" s="171"/>
      <c r="E29" s="171"/>
      <c r="F29" s="171"/>
      <c r="G29" s="172"/>
      <c r="H29" s="173">
        <v>-43818</v>
      </c>
      <c r="I29" s="173">
        <v>-42253</v>
      </c>
      <c r="J29" s="196">
        <v>-42253</v>
      </c>
      <c r="K29" s="176">
        <f>H29-I29</f>
        <v>-1565</v>
      </c>
      <c r="L29" s="176">
        <f>IF(AND(OR(H29=0,I29&lt;&gt;0),OR(I29=0,H29&lt;&gt;0)),IF((H29+I29+K29&lt;&gt;0),IF(AND(OR(H29&gt;0,I29&lt;0),OR(I29&gt;0,H29&lt;0)),ABS(K29/MIN(ABS(I29),ABS(H29))),10),"-"),10)</f>
        <v>3.7038790145078458E-2</v>
      </c>
      <c r="M29" s="176"/>
    </row>
    <row r="30" spans="1:18" x14ac:dyDescent="0.2">
      <c r="A30" s="162"/>
      <c r="B30" s="281"/>
      <c r="C30" s="170"/>
      <c r="D30" s="171"/>
      <c r="E30" s="171"/>
      <c r="F30" s="171"/>
      <c r="G30" s="172"/>
      <c r="H30" s="195"/>
      <c r="I30" s="186"/>
      <c r="J30" s="186"/>
      <c r="K30" s="176"/>
      <c r="L30" s="176"/>
      <c r="M30" s="176"/>
    </row>
    <row r="31" spans="1:18" x14ac:dyDescent="0.2">
      <c r="A31" s="162">
        <v>4</v>
      </c>
      <c r="B31" s="245" t="s">
        <v>820</v>
      </c>
      <c r="C31" s="246"/>
      <c r="D31" s="246"/>
      <c r="E31" s="246"/>
      <c r="F31" s="246"/>
      <c r="G31" s="247"/>
      <c r="H31" s="183">
        <f>SUM(H6:H29)</f>
        <v>55211</v>
      </c>
      <c r="I31" s="183">
        <f>SUM(I6:I29)</f>
        <v>97799</v>
      </c>
      <c r="J31" s="244">
        <f>SUM(J6:J29)</f>
        <v>97799</v>
      </c>
      <c r="K31" s="176">
        <f>H31-I31</f>
        <v>-42588</v>
      </c>
      <c r="L31" s="176">
        <f>IF(AND(OR(H31=0,I31&lt;&gt;0),OR(I31=0,H31&lt;&gt;0)),IF((H31+I31+K31&lt;&gt;0),IF(AND(OR(H31&gt;0,I31&lt;0),OR(I31&gt;0,H31&lt;0)),ABS(K31/MIN(ABS(I31),ABS(H31))),10),"-"),10)</f>
        <v>0.77136802448787378</v>
      </c>
      <c r="M31" s="176"/>
    </row>
    <row r="32" spans="1:18" x14ac:dyDescent="0.2">
      <c r="A32" s="162"/>
      <c r="B32" s="191"/>
      <c r="C32" s="192"/>
      <c r="D32" s="192"/>
      <c r="E32" s="192"/>
      <c r="F32" s="192"/>
      <c r="G32" s="193"/>
      <c r="H32" s="186"/>
      <c r="I32" s="186"/>
      <c r="J32" s="186"/>
      <c r="K32" s="176"/>
      <c r="L32" s="176"/>
      <c r="M32" s="176"/>
    </row>
    <row r="33" spans="1:13" x14ac:dyDescent="0.2">
      <c r="A33" s="162">
        <v>5</v>
      </c>
      <c r="B33" s="163" t="s">
        <v>821</v>
      </c>
      <c r="C33" s="164"/>
      <c r="D33" s="164"/>
      <c r="E33" s="164"/>
      <c r="F33" s="164"/>
      <c r="G33" s="165"/>
      <c r="H33" s="187"/>
      <c r="I33" s="187"/>
      <c r="J33" s="187"/>
      <c r="K33" s="176"/>
      <c r="L33" s="176"/>
      <c r="M33" s="176"/>
    </row>
    <row r="34" spans="1:13" x14ac:dyDescent="0.2">
      <c r="A34" s="162" t="s">
        <v>822</v>
      </c>
      <c r="B34" s="281"/>
      <c r="C34" s="16" t="s">
        <v>823</v>
      </c>
      <c r="D34" s="171"/>
      <c r="E34" s="171"/>
      <c r="F34" s="171"/>
      <c r="G34" s="172"/>
      <c r="H34" s="173">
        <v>1615</v>
      </c>
      <c r="I34" s="173">
        <v>23723</v>
      </c>
      <c r="J34" s="196">
        <v>23723</v>
      </c>
      <c r="K34" s="176">
        <f t="shared" ref="K34:K44" si="2">H34-I34</f>
        <v>-22108</v>
      </c>
      <c r="L34" s="176">
        <f t="shared" ref="L34:L44" si="3">IF(AND(OR(H34=0,I34&lt;&gt;0),OR(I34=0,H34&lt;&gt;0)),IF((H34+I34+K34&lt;&gt;0),IF(AND(OR(H34&gt;0,I34&lt;0),OR(I34&gt;0,H34&lt;0)),ABS(K34/MIN(ABS(I34),ABS(H34))),10),"-"),10)</f>
        <v>13.689164086687306</v>
      </c>
      <c r="M34" s="176"/>
    </row>
    <row r="35" spans="1:13" x14ac:dyDescent="0.2">
      <c r="A35" s="162" t="s">
        <v>824</v>
      </c>
      <c r="B35" s="281"/>
      <c r="C35" s="16" t="s">
        <v>825</v>
      </c>
      <c r="D35" s="171"/>
      <c r="E35" s="171"/>
      <c r="F35" s="171"/>
      <c r="G35" s="172"/>
      <c r="H35" s="173">
        <v>0</v>
      </c>
      <c r="I35" s="173">
        <v>0</v>
      </c>
      <c r="J35" s="196">
        <v>0</v>
      </c>
      <c r="K35" s="176">
        <f t="shared" si="2"/>
        <v>0</v>
      </c>
      <c r="L35" s="176" t="str">
        <f t="shared" si="3"/>
        <v>-</v>
      </c>
      <c r="M35" s="176"/>
    </row>
    <row r="36" spans="1:13" x14ac:dyDescent="0.2">
      <c r="A36" s="162" t="s">
        <v>826</v>
      </c>
      <c r="B36" s="281"/>
      <c r="C36" s="16" t="s">
        <v>827</v>
      </c>
      <c r="D36" s="171"/>
      <c r="E36" s="171"/>
      <c r="F36" s="171"/>
      <c r="G36" s="172"/>
      <c r="H36" s="173">
        <v>43818</v>
      </c>
      <c r="I36" s="173">
        <v>42253</v>
      </c>
      <c r="J36" s="196">
        <v>42253</v>
      </c>
      <c r="K36" s="176">
        <f t="shared" si="2"/>
        <v>1565</v>
      </c>
      <c r="L36" s="176">
        <f t="shared" si="3"/>
        <v>3.7038790145078458E-2</v>
      </c>
      <c r="M36" s="176"/>
    </row>
    <row r="37" spans="1:13" x14ac:dyDescent="0.2">
      <c r="A37" s="162" t="s">
        <v>828</v>
      </c>
      <c r="B37" s="281"/>
      <c r="C37" s="170" t="s">
        <v>829</v>
      </c>
      <c r="D37" s="171"/>
      <c r="E37" s="171"/>
      <c r="F37" s="171"/>
      <c r="G37" s="172"/>
      <c r="H37" s="173">
        <v>5042</v>
      </c>
      <c r="I37" s="173">
        <v>105707</v>
      </c>
      <c r="J37" s="196">
        <v>105707</v>
      </c>
      <c r="K37" s="176">
        <f t="shared" si="2"/>
        <v>-100665</v>
      </c>
      <c r="L37" s="176">
        <f t="shared" si="3"/>
        <v>19.965291550971838</v>
      </c>
      <c r="M37" s="176"/>
    </row>
    <row r="38" spans="1:13" x14ac:dyDescent="0.2">
      <c r="A38" s="162" t="s">
        <v>830</v>
      </c>
      <c r="B38" s="281"/>
      <c r="C38" s="170" t="s">
        <v>831</v>
      </c>
      <c r="D38" s="171"/>
      <c r="E38" s="171"/>
      <c r="F38" s="171"/>
      <c r="G38" s="172"/>
      <c r="H38" s="173">
        <v>-1030</v>
      </c>
      <c r="I38" s="173">
        <v>-1010</v>
      </c>
      <c r="J38" s="196">
        <v>-1010</v>
      </c>
      <c r="K38" s="176">
        <f t="shared" si="2"/>
        <v>-20</v>
      </c>
      <c r="L38" s="176">
        <f t="shared" si="3"/>
        <v>1.9801980198019802E-2</v>
      </c>
      <c r="M38" s="176"/>
    </row>
    <row r="39" spans="1:13" x14ac:dyDescent="0.2">
      <c r="A39" s="162" t="s">
        <v>832</v>
      </c>
      <c r="B39" s="281"/>
      <c r="C39" s="170" t="s">
        <v>630</v>
      </c>
      <c r="D39" s="171"/>
      <c r="E39" s="171"/>
      <c r="F39" s="171"/>
      <c r="G39" s="172"/>
      <c r="H39" s="173">
        <v>14493</v>
      </c>
      <c r="I39" s="173">
        <v>14548</v>
      </c>
      <c r="J39" s="196">
        <v>14548</v>
      </c>
      <c r="K39" s="176">
        <f t="shared" si="2"/>
        <v>-55</v>
      </c>
      <c r="L39" s="176">
        <f t="shared" si="3"/>
        <v>3.7949354860967364E-3</v>
      </c>
      <c r="M39" s="176"/>
    </row>
    <row r="40" spans="1:13" x14ac:dyDescent="0.2">
      <c r="A40" s="162" t="s">
        <v>833</v>
      </c>
      <c r="B40" s="281"/>
      <c r="C40" s="170" t="s">
        <v>834</v>
      </c>
      <c r="D40" s="171"/>
      <c r="E40" s="171"/>
      <c r="F40" s="171"/>
      <c r="G40" s="172"/>
      <c r="H40" s="173">
        <v>-199151</v>
      </c>
      <c r="I40" s="173">
        <v>-188070</v>
      </c>
      <c r="J40" s="196">
        <v>-188070</v>
      </c>
      <c r="K40" s="176">
        <f t="shared" si="2"/>
        <v>-11081</v>
      </c>
      <c r="L40" s="176">
        <f t="shared" si="3"/>
        <v>5.8919551230924655E-2</v>
      </c>
      <c r="M40" s="176"/>
    </row>
    <row r="41" spans="1:13" x14ac:dyDescent="0.2">
      <c r="A41" s="162" t="s">
        <v>835</v>
      </c>
      <c r="B41" s="281"/>
      <c r="C41" s="170" t="s">
        <v>836</v>
      </c>
      <c r="D41" s="171"/>
      <c r="E41" s="171"/>
      <c r="F41" s="171"/>
      <c r="G41" s="172"/>
      <c r="H41" s="173">
        <v>0</v>
      </c>
      <c r="I41" s="173">
        <v>0</v>
      </c>
      <c r="J41" s="196">
        <v>0</v>
      </c>
      <c r="K41" s="176">
        <f t="shared" si="2"/>
        <v>0</v>
      </c>
      <c r="L41" s="176" t="str">
        <f t="shared" si="3"/>
        <v>-</v>
      </c>
      <c r="M41" s="176"/>
    </row>
    <row r="42" spans="1:13" x14ac:dyDescent="0.2">
      <c r="A42" s="162" t="s">
        <v>837</v>
      </c>
      <c r="B42" s="267"/>
      <c r="C42" s="170" t="s">
        <v>838</v>
      </c>
      <c r="D42" s="171"/>
      <c r="E42" s="171"/>
      <c r="F42" s="13"/>
      <c r="G42" s="239"/>
      <c r="H42" s="173">
        <v>-2936</v>
      </c>
      <c r="I42" s="173">
        <v>-99320</v>
      </c>
      <c r="J42" s="196">
        <v>-99320</v>
      </c>
      <c r="K42" s="176">
        <f t="shared" si="2"/>
        <v>96384</v>
      </c>
      <c r="L42" s="176">
        <f t="shared" si="3"/>
        <v>32.828337874659404</v>
      </c>
      <c r="M42" s="176"/>
    </row>
    <row r="43" spans="1:13" x14ac:dyDescent="0.2">
      <c r="A43" s="162" t="s">
        <v>839</v>
      </c>
      <c r="B43" s="281"/>
      <c r="C43" s="170" t="s">
        <v>840</v>
      </c>
      <c r="D43" s="171"/>
      <c r="E43" s="171"/>
      <c r="F43" s="171"/>
      <c r="G43" s="172"/>
      <c r="H43" s="173">
        <v>15000</v>
      </c>
      <c r="I43" s="173">
        <v>23062</v>
      </c>
      <c r="J43" s="196">
        <v>23062</v>
      </c>
      <c r="K43" s="176">
        <f t="shared" si="2"/>
        <v>-8062</v>
      </c>
      <c r="L43" s="176">
        <f t="shared" si="3"/>
        <v>0.53746666666666665</v>
      </c>
      <c r="M43" s="176"/>
    </row>
    <row r="44" spans="1:13" x14ac:dyDescent="0.2">
      <c r="A44" s="162" t="s">
        <v>841</v>
      </c>
      <c r="B44" s="245" t="s">
        <v>842</v>
      </c>
      <c r="C44" s="246"/>
      <c r="D44" s="246"/>
      <c r="E44" s="246"/>
      <c r="F44" s="246"/>
      <c r="G44" s="247"/>
      <c r="H44" s="183">
        <f>SUM(H34:H43)</f>
        <v>-123149</v>
      </c>
      <c r="I44" s="183">
        <f>SUM(I34:I43)</f>
        <v>-79107</v>
      </c>
      <c r="J44" s="244">
        <f>SUM(J34:J43)</f>
        <v>-79107</v>
      </c>
      <c r="K44" s="176">
        <f t="shared" si="2"/>
        <v>-44042</v>
      </c>
      <c r="L44" s="176">
        <f t="shared" si="3"/>
        <v>0.55673960585030402</v>
      </c>
      <c r="M44" s="176"/>
    </row>
    <row r="45" spans="1:13" x14ac:dyDescent="0.2">
      <c r="A45" s="162"/>
      <c r="B45" s="184"/>
      <c r="C45" s="179"/>
      <c r="D45" s="179"/>
      <c r="E45" s="179"/>
      <c r="F45" s="179"/>
      <c r="G45" s="185"/>
      <c r="H45" s="282"/>
      <c r="I45" s="282"/>
      <c r="J45" s="282"/>
      <c r="K45" s="176"/>
      <c r="L45" s="176"/>
      <c r="M45" s="176"/>
    </row>
    <row r="46" spans="1:13" x14ac:dyDescent="0.2">
      <c r="A46" s="162">
        <v>6</v>
      </c>
      <c r="B46" s="163" t="s">
        <v>843</v>
      </c>
      <c r="C46" s="164"/>
      <c r="D46" s="164"/>
      <c r="E46" s="164"/>
      <c r="F46" s="164"/>
      <c r="G46" s="165"/>
      <c r="H46" s="187"/>
      <c r="I46" s="187"/>
      <c r="J46" s="187"/>
      <c r="K46" s="176"/>
      <c r="L46" s="176"/>
      <c r="M46" s="176"/>
    </row>
    <row r="47" spans="1:13" x14ac:dyDescent="0.2">
      <c r="A47" s="162" t="s">
        <v>844</v>
      </c>
      <c r="B47" s="281"/>
      <c r="C47" s="170" t="s">
        <v>845</v>
      </c>
      <c r="D47" s="171"/>
      <c r="E47" s="171"/>
      <c r="F47" s="171"/>
      <c r="G47" s="172"/>
      <c r="H47" s="173">
        <v>0</v>
      </c>
      <c r="I47" s="173">
        <v>-8998</v>
      </c>
      <c r="J47" s="196">
        <v>-8998</v>
      </c>
      <c r="K47" s="176">
        <f t="shared" ref="K47:K55" si="4">H47-I47</f>
        <v>8998</v>
      </c>
      <c r="L47" s="176">
        <f t="shared" ref="L47:L55" si="5">IF(AND(OR(H47=0,I47&lt;&gt;0),OR(I47=0,H47&lt;&gt;0)),IF((H47+I47+K47&lt;&gt;0),IF(AND(OR(H47&gt;0,I47&lt;0),OR(I47&gt;0,H47&lt;0)),ABS(K47/MIN(ABS(I47),ABS(H47))),10),"-"),10)</f>
        <v>10</v>
      </c>
      <c r="M47" s="176"/>
    </row>
    <row r="48" spans="1:13" x14ac:dyDescent="0.2">
      <c r="A48" s="162" t="s">
        <v>846</v>
      </c>
      <c r="B48" s="281"/>
      <c r="C48" s="170" t="s">
        <v>847</v>
      </c>
      <c r="D48" s="171"/>
      <c r="E48" s="171"/>
      <c r="F48" s="171"/>
      <c r="G48" s="172"/>
      <c r="H48" s="173">
        <v>-10788</v>
      </c>
      <c r="I48" s="173">
        <v>-121</v>
      </c>
      <c r="J48" s="196">
        <v>-121</v>
      </c>
      <c r="K48" s="176">
        <f t="shared" si="4"/>
        <v>-10667</v>
      </c>
      <c r="L48" s="176">
        <f t="shared" si="5"/>
        <v>88.15702479338843</v>
      </c>
      <c r="M48" s="176"/>
    </row>
    <row r="49" spans="1:14" x14ac:dyDescent="0.2">
      <c r="A49" s="162" t="s">
        <v>848</v>
      </c>
      <c r="B49" s="281"/>
      <c r="C49" s="170" t="s">
        <v>849</v>
      </c>
      <c r="D49" s="171"/>
      <c r="E49" s="171"/>
      <c r="F49" s="171"/>
      <c r="G49" s="172"/>
      <c r="H49" s="173">
        <v>-93</v>
      </c>
      <c r="I49" s="173">
        <v>1714</v>
      </c>
      <c r="J49" s="196">
        <v>1714</v>
      </c>
      <c r="K49" s="176">
        <f t="shared" si="4"/>
        <v>-1807</v>
      </c>
      <c r="L49" s="176">
        <f t="shared" si="5"/>
        <v>10</v>
      </c>
      <c r="M49" s="176"/>
    </row>
    <row r="50" spans="1:14" x14ac:dyDescent="0.2">
      <c r="A50" s="162" t="s">
        <v>850</v>
      </c>
      <c r="B50" s="281"/>
      <c r="C50" s="170" t="s">
        <v>851</v>
      </c>
      <c r="D50" s="171"/>
      <c r="E50" s="171"/>
      <c r="F50" s="171"/>
      <c r="G50" s="172"/>
      <c r="H50" s="173">
        <v>1394</v>
      </c>
      <c r="I50" s="173">
        <v>0</v>
      </c>
      <c r="J50" s="196">
        <v>0</v>
      </c>
      <c r="K50" s="176">
        <f t="shared" si="4"/>
        <v>1394</v>
      </c>
      <c r="L50" s="176">
        <f t="shared" si="5"/>
        <v>10</v>
      </c>
      <c r="M50" s="176"/>
    </row>
    <row r="51" spans="1:14" x14ac:dyDescent="0.2">
      <c r="A51" s="162" t="s">
        <v>852</v>
      </c>
      <c r="B51" s="281"/>
      <c r="C51" s="170" t="s">
        <v>853</v>
      </c>
      <c r="D51" s="171"/>
      <c r="E51" s="171"/>
      <c r="F51" s="171"/>
      <c r="G51" s="172"/>
      <c r="H51" s="173">
        <v>0</v>
      </c>
      <c r="I51" s="173">
        <v>67000</v>
      </c>
      <c r="J51" s="196">
        <v>67000</v>
      </c>
      <c r="K51" s="176">
        <f t="shared" si="4"/>
        <v>-67000</v>
      </c>
      <c r="L51" s="176">
        <f t="shared" si="5"/>
        <v>10</v>
      </c>
      <c r="M51" s="176"/>
    </row>
    <row r="52" spans="1:14" x14ac:dyDescent="0.2">
      <c r="A52" s="162" t="s">
        <v>854</v>
      </c>
      <c r="B52" s="281"/>
      <c r="C52" s="170" t="s">
        <v>855</v>
      </c>
      <c r="D52" s="171"/>
      <c r="E52" s="171"/>
      <c r="F52" s="171"/>
      <c r="G52" s="172"/>
      <c r="H52" s="173">
        <v>66700</v>
      </c>
      <c r="I52" s="173">
        <v>-3662</v>
      </c>
      <c r="J52" s="196">
        <v>-3662</v>
      </c>
      <c r="K52" s="176">
        <f t="shared" si="4"/>
        <v>70362</v>
      </c>
      <c r="L52" s="176">
        <f t="shared" si="5"/>
        <v>10</v>
      </c>
      <c r="M52" s="176"/>
    </row>
    <row r="53" spans="1:14" x14ac:dyDescent="0.2">
      <c r="A53" s="162" t="s">
        <v>856</v>
      </c>
      <c r="B53" s="281"/>
      <c r="C53" s="170" t="s">
        <v>857</v>
      </c>
      <c r="D53" s="171"/>
      <c r="E53" s="171"/>
      <c r="F53" s="171"/>
      <c r="G53" s="172"/>
      <c r="H53" s="173">
        <v>-3177</v>
      </c>
      <c r="I53" s="173">
        <v>-201</v>
      </c>
      <c r="J53" s="196">
        <v>-201</v>
      </c>
      <c r="K53" s="176">
        <f t="shared" si="4"/>
        <v>-2976</v>
      </c>
      <c r="L53" s="176">
        <f t="shared" si="5"/>
        <v>14.805970149253731</v>
      </c>
      <c r="M53" s="176"/>
      <c r="N53" s="143" t="s">
        <v>858</v>
      </c>
    </row>
    <row r="54" spans="1:14" x14ac:dyDescent="0.2">
      <c r="A54" s="162" t="s">
        <v>859</v>
      </c>
      <c r="B54" s="281"/>
      <c r="C54" s="170" t="s">
        <v>8</v>
      </c>
      <c r="D54" s="171"/>
      <c r="E54" s="171"/>
      <c r="F54" s="171"/>
      <c r="G54" s="172"/>
      <c r="H54" s="173">
        <v>-224</v>
      </c>
      <c r="I54" s="173">
        <v>0</v>
      </c>
      <c r="J54" s="196">
        <v>0</v>
      </c>
      <c r="K54" s="176">
        <f t="shared" si="4"/>
        <v>-224</v>
      </c>
      <c r="L54" s="176">
        <f t="shared" si="5"/>
        <v>10</v>
      </c>
      <c r="M54" s="176"/>
      <c r="N54" s="280"/>
    </row>
    <row r="55" spans="1:14" x14ac:dyDescent="0.2">
      <c r="A55" s="162" t="s">
        <v>860</v>
      </c>
      <c r="B55" s="245" t="s">
        <v>861</v>
      </c>
      <c r="C55" s="246"/>
      <c r="D55" s="246"/>
      <c r="E55" s="246"/>
      <c r="F55" s="246"/>
      <c r="G55" s="247"/>
      <c r="H55" s="183">
        <f>SUM(H47:H54)</f>
        <v>53812</v>
      </c>
      <c r="I55" s="183">
        <f>SUM(I47:I54)</f>
        <v>55732</v>
      </c>
      <c r="J55" s="244">
        <f>SUM(J47:J54)</f>
        <v>55732</v>
      </c>
      <c r="K55" s="176">
        <f t="shared" si="4"/>
        <v>-1920</v>
      </c>
      <c r="L55" s="176">
        <f t="shared" si="5"/>
        <v>3.567977402809782E-2</v>
      </c>
      <c r="M55" s="176"/>
    </row>
    <row r="56" spans="1:14" x14ac:dyDescent="0.2">
      <c r="A56" s="162"/>
      <c r="B56" s="184"/>
      <c r="C56" s="179"/>
      <c r="D56" s="179"/>
      <c r="E56" s="179"/>
      <c r="F56" s="179"/>
      <c r="G56" s="185"/>
      <c r="H56" s="186"/>
      <c r="I56" s="186"/>
      <c r="J56" s="186"/>
      <c r="K56" s="176"/>
      <c r="L56" s="176"/>
      <c r="M56" s="176"/>
    </row>
    <row r="57" spans="1:14" x14ac:dyDescent="0.2">
      <c r="A57" s="162">
        <v>7</v>
      </c>
      <c r="B57" s="245" t="s">
        <v>862</v>
      </c>
      <c r="C57" s="246"/>
      <c r="D57" s="246"/>
      <c r="E57" s="246"/>
      <c r="F57" s="246"/>
      <c r="G57" s="247"/>
      <c r="H57" s="183">
        <f>H31+H44+H55</f>
        <v>-14126</v>
      </c>
      <c r="I57" s="183">
        <f>I31+I44+I55</f>
        <v>74424</v>
      </c>
      <c r="J57" s="244">
        <f>J31+J44+J55</f>
        <v>74424</v>
      </c>
      <c r="K57" s="176">
        <f>H57-I57</f>
        <v>-88550</v>
      </c>
      <c r="L57" s="176">
        <f>IF(AND(OR(H57=0,I57&lt;&gt;0),OR(I57=0,H57&lt;&gt;0)),IF((H57+I57+K57&lt;&gt;0),IF(AND(OR(H57&gt;0,I57&lt;0),OR(I57&gt;0,H57&lt;0)),ABS(K57/MIN(ABS(I57),ABS(H57))),10),"-"),10)</f>
        <v>10</v>
      </c>
      <c r="M57" s="176"/>
    </row>
    <row r="58" spans="1:14" x14ac:dyDescent="0.2">
      <c r="A58" s="162"/>
      <c r="B58" s="17"/>
      <c r="C58" s="171"/>
      <c r="D58" s="171"/>
      <c r="E58" s="171"/>
      <c r="F58" s="18"/>
      <c r="G58" s="239"/>
      <c r="H58" s="19"/>
      <c r="I58" s="19"/>
      <c r="J58" s="19"/>
      <c r="K58" s="176"/>
      <c r="L58" s="176"/>
      <c r="M58" s="176"/>
    </row>
    <row r="59" spans="1:14" x14ac:dyDescent="0.2">
      <c r="A59" s="162">
        <v>8</v>
      </c>
      <c r="B59" s="245" t="s">
        <v>863</v>
      </c>
      <c r="C59" s="246"/>
      <c r="D59" s="246"/>
      <c r="E59" s="246"/>
      <c r="F59" s="246"/>
      <c r="G59" s="247"/>
      <c r="H59" s="283">
        <f>I60</f>
        <v>250207</v>
      </c>
      <c r="I59" s="284">
        <v>175783</v>
      </c>
      <c r="J59" s="285">
        <v>175783</v>
      </c>
      <c r="K59" s="176">
        <f>H59-I59</f>
        <v>74424</v>
      </c>
      <c r="L59" s="176">
        <f>IF(AND(OR(H59=0,I59&lt;&gt;0),OR(I59=0,H59&lt;&gt;0)),IF((H59+I59+K59&lt;&gt;0),IF(AND(OR(H59&gt;0,I59&lt;0),OR(I59&gt;0,H59&lt;0)),ABS(K59/MIN(ABS(I59),ABS(H59))),10),"-"),10)</f>
        <v>0.42338565162729047</v>
      </c>
      <c r="M59" s="176"/>
    </row>
    <row r="60" spans="1:14" x14ac:dyDescent="0.2">
      <c r="A60" s="162">
        <v>9</v>
      </c>
      <c r="B60" s="245" t="s">
        <v>864</v>
      </c>
      <c r="C60" s="246"/>
      <c r="D60" s="246"/>
      <c r="E60" s="246"/>
      <c r="F60" s="246"/>
      <c r="G60" s="247"/>
      <c r="H60" s="283">
        <f>H59+H57</f>
        <v>236081</v>
      </c>
      <c r="I60" s="283">
        <f>I59+I57</f>
        <v>250207</v>
      </c>
      <c r="J60" s="285">
        <f>J59+J57</f>
        <v>250207</v>
      </c>
      <c r="K60" s="176">
        <f>H60-I60</f>
        <v>-14126</v>
      </c>
      <c r="L60" s="176">
        <f>IF(AND(OR(H60=0,I60&lt;&gt;0),OR(I60=0,H60&lt;&gt;0)),IF((H60+I60+K60&lt;&gt;0),IF(AND(OR(H60&gt;0,I60&lt;0),OR(I60&gt;0,H60&lt;0)),ABS(K60/MIN(ABS(I60),ABS(H60))),10),"-"),10)</f>
        <v>5.9835395478670457E-2</v>
      </c>
      <c r="M60" s="176"/>
    </row>
  </sheetData>
  <sheetProtection algorithmName="SHA-512" hashValue="P4KpeWoi9HFYjV5nFmSgz4IJLcCwgQ/1oW37rM7ZO1s3wOg5A7/TF0OsV8iOHqm5Q3Nps0O8V+F/3CX2/oXeOg==" saltValue="1kiZ3vv2mNi6iPxtCOleyw==" spinCount="100000" sheet="1" objects="1" scenarios="1"/>
  <mergeCells count="3">
    <mergeCell ref="B1:C1"/>
    <mergeCell ref="I1:I2"/>
    <mergeCell ref="J1:J2"/>
  </mergeCells>
  <conditionalFormatting sqref="I6">
    <cfRule type="expression" dxfId="95" priority="1">
      <formula>I6&lt;&gt;J6</formula>
    </cfRule>
  </conditionalFormatting>
  <conditionalFormatting sqref="I9">
    <cfRule type="expression" dxfId="94" priority="2">
      <formula>I9&lt;&gt;J9</formula>
    </cfRule>
  </conditionalFormatting>
  <conditionalFormatting sqref="I10">
    <cfRule type="expression" dxfId="93" priority="3">
      <formula>I10&lt;&gt;J10</formula>
    </cfRule>
  </conditionalFormatting>
  <conditionalFormatting sqref="I11">
    <cfRule type="expression" dxfId="92" priority="4">
      <formula>I11&lt;&gt;J11</formula>
    </cfRule>
  </conditionalFormatting>
  <conditionalFormatting sqref="I12">
    <cfRule type="expression" dxfId="91" priority="5">
      <formula>I12&lt;&gt;J12</formula>
    </cfRule>
  </conditionalFormatting>
  <conditionalFormatting sqref="I13">
    <cfRule type="expression" dxfId="90" priority="6">
      <formula>I13&lt;&gt;J13</formula>
    </cfRule>
  </conditionalFormatting>
  <conditionalFormatting sqref="I14">
    <cfRule type="expression" dxfId="89" priority="7">
      <formula>I14&lt;&gt;J14</formula>
    </cfRule>
  </conditionalFormatting>
  <conditionalFormatting sqref="I15">
    <cfRule type="expression" dxfId="88" priority="8">
      <formula>I15&lt;&gt;J15</formula>
    </cfRule>
  </conditionalFormatting>
  <conditionalFormatting sqref="I16">
    <cfRule type="expression" dxfId="87" priority="9">
      <formula>I16&lt;&gt;J16</formula>
    </cfRule>
  </conditionalFormatting>
  <conditionalFormatting sqref="I17">
    <cfRule type="expression" dxfId="86" priority="10">
      <formula>I17&lt;&gt;J17</formula>
    </cfRule>
  </conditionalFormatting>
  <conditionalFormatting sqref="I18">
    <cfRule type="expression" dxfId="85" priority="11">
      <formula>I18&lt;&gt;J18</formula>
    </cfRule>
  </conditionalFormatting>
  <conditionalFormatting sqref="I19">
    <cfRule type="expression" dxfId="84" priority="12">
      <formula>I19&lt;&gt;J19</formula>
    </cfRule>
  </conditionalFormatting>
  <conditionalFormatting sqref="I20">
    <cfRule type="expression" dxfId="83" priority="13">
      <formula>I20&lt;&gt;J20</formula>
    </cfRule>
  </conditionalFormatting>
  <conditionalFormatting sqref="I21">
    <cfRule type="expression" dxfId="82" priority="14">
      <formula>I21&lt;&gt;J21</formula>
    </cfRule>
  </conditionalFormatting>
  <conditionalFormatting sqref="I22">
    <cfRule type="expression" dxfId="81" priority="15">
      <formula>I22&lt;&gt;J22</formula>
    </cfRule>
  </conditionalFormatting>
  <conditionalFormatting sqref="I25">
    <cfRule type="expression" dxfId="80" priority="16">
      <formula>I25&lt;&gt;J25</formula>
    </cfRule>
  </conditionalFormatting>
  <conditionalFormatting sqref="I26">
    <cfRule type="expression" dxfId="79" priority="17">
      <formula>I26&lt;&gt;J26</formula>
    </cfRule>
  </conditionalFormatting>
  <conditionalFormatting sqref="I27">
    <cfRule type="expression" dxfId="78" priority="18">
      <formula>I27&lt;&gt;J27</formula>
    </cfRule>
  </conditionalFormatting>
  <conditionalFormatting sqref="I28">
    <cfRule type="expression" dxfId="77" priority="19">
      <formula>I28&lt;&gt;J28</formula>
    </cfRule>
  </conditionalFormatting>
  <conditionalFormatting sqref="I29">
    <cfRule type="expression" dxfId="76" priority="20">
      <formula>I29&lt;&gt;J29</formula>
    </cfRule>
  </conditionalFormatting>
  <conditionalFormatting sqref="I34">
    <cfRule type="expression" dxfId="75" priority="21">
      <formula>I34&lt;&gt;J34</formula>
    </cfRule>
  </conditionalFormatting>
  <conditionalFormatting sqref="I35">
    <cfRule type="expression" dxfId="74" priority="22">
      <formula>I35&lt;&gt;J35</formula>
    </cfRule>
  </conditionalFormatting>
  <conditionalFormatting sqref="I36">
    <cfRule type="expression" dxfId="73" priority="23">
      <formula>I36&lt;&gt;J36</formula>
    </cfRule>
  </conditionalFormatting>
  <conditionalFormatting sqref="I37">
    <cfRule type="expression" dxfId="72" priority="24">
      <formula>I37&lt;&gt;J37</formula>
    </cfRule>
  </conditionalFormatting>
  <conditionalFormatting sqref="I38">
    <cfRule type="expression" dxfId="71" priority="25">
      <formula>I38&lt;&gt;J38</formula>
    </cfRule>
  </conditionalFormatting>
  <conditionalFormatting sqref="I39">
    <cfRule type="expression" dxfId="70" priority="26">
      <formula>I39&lt;&gt;J39</formula>
    </cfRule>
  </conditionalFormatting>
  <conditionalFormatting sqref="I40">
    <cfRule type="expression" dxfId="69" priority="27">
      <formula>I40&lt;&gt;J40</formula>
    </cfRule>
  </conditionalFormatting>
  <conditionalFormatting sqref="I41">
    <cfRule type="expression" dxfId="68" priority="28">
      <formula>I41&lt;&gt;J41</formula>
    </cfRule>
  </conditionalFormatting>
  <conditionalFormatting sqref="I42">
    <cfRule type="expression" dxfId="67" priority="29">
      <formula>I42&lt;&gt;J42</formula>
    </cfRule>
  </conditionalFormatting>
  <conditionalFormatting sqref="I43">
    <cfRule type="expression" dxfId="66" priority="30">
      <formula>I43&lt;&gt;J43</formula>
    </cfRule>
  </conditionalFormatting>
  <conditionalFormatting sqref="I47">
    <cfRule type="expression" dxfId="65" priority="31">
      <formula>I47&lt;&gt;J47</formula>
    </cfRule>
  </conditionalFormatting>
  <conditionalFormatting sqref="I48">
    <cfRule type="expression" dxfId="64" priority="32">
      <formula>I48&lt;&gt;J48</formula>
    </cfRule>
  </conditionalFormatting>
  <conditionalFormatting sqref="I49">
    <cfRule type="expression" dxfId="63" priority="33">
      <formula>I49&lt;&gt;J49</formula>
    </cfRule>
  </conditionalFormatting>
  <conditionalFormatting sqref="I50">
    <cfRule type="expression" dxfId="62" priority="34">
      <formula>I50&lt;&gt;J50</formula>
    </cfRule>
  </conditionalFormatting>
  <conditionalFormatting sqref="I51">
    <cfRule type="expression" dxfId="61" priority="35">
      <formula>I51&lt;&gt;J51</formula>
    </cfRule>
  </conditionalFormatting>
  <conditionalFormatting sqref="I52">
    <cfRule type="expression" dxfId="60" priority="36">
      <formula>I52&lt;&gt;J52</formula>
    </cfRule>
  </conditionalFormatting>
  <conditionalFormatting sqref="I53">
    <cfRule type="expression" dxfId="59" priority="37">
      <formula>I53&lt;&gt;J53</formula>
    </cfRule>
  </conditionalFormatting>
  <conditionalFormatting sqref="I54">
    <cfRule type="expression" dxfId="58" priority="38">
      <formula>I54&lt;&gt;J54</formula>
    </cfRule>
  </conditionalFormatting>
  <conditionalFormatting sqref="I59">
    <cfRule type="expression" dxfId="57" priority="39">
      <formula>I59&lt;&gt;J59</formula>
    </cfRule>
  </conditionalFormatting>
  <dataValidations count="18">
    <dataValidation type="textLength" allowBlank="1" showInputMessage="1" showErrorMessage="1" errorTitle="Maximum 255 text characters" error="Only text up to 255 characters is allowed here." promptTitle="Maximum 255 text characters" prompt=" " sqref="N22">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N22)." sqref="H22:J22">
      <formula1>-999999999</formula1>
    </dataValidation>
    <dataValidation type="whole" operator="greaterThan" allowBlank="1" showInputMessage="1" showErrorMessage="1" errorTitle="Whole numbers only allowed" error="All monies should be independently rounded to the nearest £1,000." sqref="H10:J12">
      <formula1>-99999999</formula1>
    </dataValidation>
    <dataValidation type="whole" operator="greaterThan" allowBlank="1" showInputMessage="1" showErrorMessage="1" errorTitle="Whole numbers only allowed" error="All monies should be independently rounded to the nearest £1,000." sqref="I14:J19">
      <formula1>-99999999</formula1>
    </dataValidation>
    <dataValidation type="whole" operator="greaterThan" allowBlank="1" showInputMessage="1" showErrorMessage="1" errorTitle="Whole numbers only allowed" error="All monies should be independently rounded to the nearest £1,000." sqref="H16:H17">
      <formula1>-99999999</formula1>
    </dataValidation>
    <dataValidation type="whole" operator="greaterThan" allowBlank="1" showInputMessage="1" showErrorMessage="1" errorTitle="Whole numbers only allowed" error="All monies should be independently rounded to the nearest £1,000." sqref="H19">
      <formula1>-99999999</formula1>
    </dataValidation>
    <dataValidation type="whole" operator="greaterThan" allowBlank="1" showInputMessage="1" showErrorMessage="1" errorTitle="Whole numbers only allowed" error="All monies should be independently rounded to the nearest £1,000." sqref="I59:J59">
      <formula1>-99999999</formula1>
    </dataValidation>
    <dataValidation type="whole" operator="greaterThan" allowBlank="1" showInputMessage="1" showErrorMessage="1" errorTitle="Whole numbers only allowed" error="All monies should be independently rounded to the nearest £1,000." sqref="H34:J43">
      <formula1>-99999999</formula1>
    </dataValidation>
    <dataValidation type="whole" operator="greaterThan" allowBlank="1" showInputMessage="1" showErrorMessage="1" errorTitle="Whole numbers only allowed" error="All monies should be independently rounded to the nearest £1,000." sqref="H47:J48">
      <formula1>-99999999</formula1>
    </dataValidation>
    <dataValidation type="whole" operator="greaterThan" allowBlank="1" showInputMessage="1" showErrorMessage="1" errorTitle="Whole numbers only allowed" error="All monies should be independently rounded to the nearest £1,000." sqref="H26">
      <formula1>-99999999</formula1>
    </dataValidation>
    <dataValidation type="whole" operator="greaterThan" allowBlank="1" showInputMessage="1" showErrorMessage="1" errorTitle="Whole numbers only allowed" error="All monies should be independently rounded to the nearest £1,000." sqref="I25:J29">
      <formula1>-99999999</formula1>
    </dataValidation>
    <dataValidation type="whole" operator="greaterThan" allowBlank="1" showInputMessage="1" showErrorMessage="1" errorTitle="Whole numbers only allowed" error="All monies should be independently rounded to the nearest £1,000." sqref="H28:H29">
      <formula1>-99999999</formula1>
    </dataValidation>
    <dataValidation type="whole" operator="greaterThan" allowBlank="1" showInputMessage="1" showErrorMessage="1" errorTitle="Whole numbers only allowed" error="All monies should be independently rounded to the nearest £1,000." sqref="I50:J54">
      <formula1>-99999999</formula1>
    </dataValidation>
    <dataValidation type="whole" operator="greaterThan" allowBlank="1" showInputMessage="1" showErrorMessage="1" errorTitle="Whole numbers only allowed" error="All monies should be independently rounded to the nearest £1,000." sqref="H50:H53">
      <formula1>-99999999</formula1>
    </dataValidation>
    <dataValidation type="whole" operator="lessThanOrEqual" allowBlank="1" showInputMessage="1" showErrorMessage="1" errorTitle="Negatives Numbers" error="All entered monies should be returned as negative and rounded to the nearest £1,000" promptTitle="If a value is entered here..." prompt="it must be a negative value" sqref="H25">
      <formula1>0</formula1>
    </dataValidation>
    <dataValidation errorStyle="warning" allowBlank="1" showInputMessage="1" showErrorMessage="1" errorTitle="Endowment" error="All entered monies should be rounded to the nearest £1,000" sqref="H27"/>
    <dataValidation type="whole" operator="greaterThan" allowBlank="1" showInputMessage="1" showErrorMessage="1" errorTitle="Whole numbers only allowed" error="All monies should be independently rounded to the nearest £1,000." promptTitle="If a value is entered here..." prompt="Please complete the text box to right (cell N54)" sqref="H54">
      <formula1>-99999999</formula1>
    </dataValidation>
    <dataValidation type="textLength" operator="lessThan" allowBlank="1" showInputMessage="1" showErrorMessage="1" errorTitle="Maximum 255 text characters" error="Only text up to 255 characters is allowed here." promptTitle="Maximum 255 text characters" prompt=" " sqref="N54">
      <formula1>255</formula1>
    </dataValidation>
  </dataValidations>
  <printOptions headings="1"/>
  <pageMargins left="0.31496062992125984" right="0.31496062992125984" top="0.74803149606299213" bottom="0.74803149606299213" header="0.31496062992125984"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H65"/>
  <sheetViews>
    <sheetView topLeftCell="A13" zoomScale="80" zoomScaleNormal="80" workbookViewId="0">
      <selection activeCell="N26" sqref="N26"/>
    </sheetView>
  </sheetViews>
  <sheetFormatPr defaultColWidth="9.140625" defaultRowHeight="12.75" x14ac:dyDescent="0.2"/>
  <cols>
    <col min="1" max="1" width="10.28515625" style="199" bestFit="1" customWidth="1"/>
    <col min="2" max="2" width="2.140625" style="143" customWidth="1"/>
    <col min="3" max="3" width="53.7109375" style="143" customWidth="1"/>
    <col min="4" max="7" width="3.140625" style="143" hidden="1" customWidth="1"/>
    <col min="8" max="15" width="14.28515625" style="143" customWidth="1"/>
    <col min="16" max="18" width="16.7109375" style="143" customWidth="1"/>
    <col min="19" max="20" width="19.28515625" style="143" customWidth="1"/>
    <col min="21" max="30" width="16.7109375" style="143" customWidth="1"/>
    <col min="31" max="31" width="9.140625" style="143" customWidth="1"/>
    <col min="32" max="16384" width="9.140625" style="143"/>
  </cols>
  <sheetData>
    <row r="1" spans="1:30" customFormat="1" ht="44.25" customHeight="1" x14ac:dyDescent="0.25">
      <c r="A1" s="144" t="s">
        <v>865</v>
      </c>
      <c r="B1" s="639" t="s">
        <v>866</v>
      </c>
      <c r="C1" s="639"/>
      <c r="D1" s="286"/>
      <c r="E1" s="286"/>
      <c r="F1" s="286"/>
      <c r="G1" s="286"/>
      <c r="H1" s="636" t="s">
        <v>867</v>
      </c>
      <c r="I1" s="636"/>
      <c r="J1" s="636"/>
      <c r="K1" s="636"/>
      <c r="L1" s="636"/>
      <c r="M1" s="636"/>
      <c r="N1" s="636"/>
      <c r="O1" s="636"/>
      <c r="P1" s="636"/>
      <c r="Q1" s="287">
        <v>2</v>
      </c>
      <c r="R1" s="287">
        <v>3</v>
      </c>
      <c r="S1" s="287">
        <v>4</v>
      </c>
      <c r="T1" s="287">
        <v>5</v>
      </c>
      <c r="U1" s="287">
        <v>6</v>
      </c>
      <c r="V1" s="287">
        <v>7</v>
      </c>
      <c r="W1" s="287">
        <v>8</v>
      </c>
      <c r="X1" s="287">
        <v>9</v>
      </c>
      <c r="Y1" s="287">
        <v>10</v>
      </c>
      <c r="Z1" s="287">
        <v>11</v>
      </c>
      <c r="AA1" s="287">
        <v>12</v>
      </c>
      <c r="AB1" s="287">
        <v>13</v>
      </c>
      <c r="AC1" s="287">
        <v>14</v>
      </c>
      <c r="AD1" s="287">
        <v>15</v>
      </c>
    </row>
    <row r="2" spans="1:30" customFormat="1" ht="15.4" customHeight="1" x14ac:dyDescent="0.25">
      <c r="A2" s="288"/>
      <c r="B2" s="286"/>
      <c r="C2" s="286"/>
      <c r="D2" s="286"/>
      <c r="E2" s="286"/>
      <c r="F2" s="286"/>
      <c r="G2" s="289"/>
      <c r="H2" s="290" t="s">
        <v>621</v>
      </c>
      <c r="I2" s="290" t="s">
        <v>623</v>
      </c>
      <c r="J2" s="290" t="s">
        <v>625</v>
      </c>
      <c r="K2" s="290" t="s">
        <v>627</v>
      </c>
      <c r="L2" s="290" t="s">
        <v>629</v>
      </c>
      <c r="M2" s="290" t="s">
        <v>631</v>
      </c>
      <c r="N2" s="290" t="s">
        <v>633</v>
      </c>
      <c r="O2" s="290" t="s">
        <v>723</v>
      </c>
      <c r="P2" s="290" t="s">
        <v>725</v>
      </c>
      <c r="Q2" s="291"/>
      <c r="R2" s="291"/>
      <c r="S2" s="291"/>
      <c r="T2" s="291"/>
      <c r="U2" s="291"/>
      <c r="V2" s="291"/>
      <c r="W2" s="291"/>
      <c r="X2" s="291"/>
      <c r="Y2" s="291"/>
      <c r="Z2" s="291"/>
      <c r="AA2" s="291"/>
      <c r="AB2" s="291"/>
      <c r="AC2" s="291"/>
      <c r="AD2" s="291"/>
    </row>
    <row r="3" spans="1:30" customFormat="1" ht="117" customHeight="1" x14ac:dyDescent="0.25">
      <c r="A3" s="288"/>
      <c r="B3" s="286"/>
      <c r="C3" s="286"/>
      <c r="D3" s="286"/>
      <c r="E3" s="286"/>
      <c r="F3" s="286"/>
      <c r="G3" s="289"/>
      <c r="H3" s="292" t="s">
        <v>868</v>
      </c>
      <c r="I3" s="292" t="s">
        <v>869</v>
      </c>
      <c r="J3" s="292" t="s">
        <v>870</v>
      </c>
      <c r="K3" s="292" t="s">
        <v>871</v>
      </c>
      <c r="L3" s="292" t="s">
        <v>872</v>
      </c>
      <c r="M3" s="292" t="s">
        <v>873</v>
      </c>
      <c r="N3" s="292" t="s">
        <v>874</v>
      </c>
      <c r="O3" s="292" t="s">
        <v>8</v>
      </c>
      <c r="P3" s="293" t="s">
        <v>875</v>
      </c>
      <c r="Q3" s="291" t="s">
        <v>876</v>
      </c>
      <c r="R3" s="291" t="s">
        <v>877</v>
      </c>
      <c r="S3" s="291" t="s">
        <v>878</v>
      </c>
      <c r="T3" s="291" t="s">
        <v>879</v>
      </c>
      <c r="U3" s="291" t="s">
        <v>880</v>
      </c>
      <c r="V3" s="291" t="s">
        <v>881</v>
      </c>
      <c r="W3" s="291" t="s">
        <v>882</v>
      </c>
      <c r="X3" s="291" t="s">
        <v>883</v>
      </c>
      <c r="Y3" s="291" t="s">
        <v>884</v>
      </c>
      <c r="Z3" s="291" t="s">
        <v>885</v>
      </c>
      <c r="AA3" s="291" t="s">
        <v>886</v>
      </c>
      <c r="AB3" s="291" t="s">
        <v>887</v>
      </c>
      <c r="AC3" s="291" t="s">
        <v>888</v>
      </c>
      <c r="AD3" s="291" t="s">
        <v>682</v>
      </c>
    </row>
    <row r="4" spans="1:30" s="294" customFormat="1" ht="15.4" customHeight="1" x14ac:dyDescent="0.25">
      <c r="A4" s="288"/>
      <c r="B4" s="234"/>
      <c r="C4" s="234"/>
      <c r="D4" s="234"/>
      <c r="E4" s="234"/>
      <c r="F4" s="234"/>
      <c r="G4" s="235"/>
      <c r="H4" s="275" t="s">
        <v>616</v>
      </c>
      <c r="I4" s="275" t="s">
        <v>616</v>
      </c>
      <c r="J4" s="275" t="s">
        <v>616</v>
      </c>
      <c r="K4" s="275" t="s">
        <v>616</v>
      </c>
      <c r="L4" s="275" t="s">
        <v>616</v>
      </c>
      <c r="M4" s="275" t="s">
        <v>616</v>
      </c>
      <c r="N4" s="275" t="s">
        <v>616</v>
      </c>
      <c r="O4" s="275" t="s">
        <v>616</v>
      </c>
      <c r="P4" s="275" t="s">
        <v>616</v>
      </c>
      <c r="Q4" s="275" t="s">
        <v>616</v>
      </c>
      <c r="R4" s="275" t="s">
        <v>616</v>
      </c>
      <c r="S4" s="275" t="s">
        <v>616</v>
      </c>
      <c r="T4" s="275" t="s">
        <v>616</v>
      </c>
      <c r="U4" s="275" t="s">
        <v>616</v>
      </c>
      <c r="V4" s="275" t="s">
        <v>616</v>
      </c>
      <c r="W4" s="275" t="s">
        <v>616</v>
      </c>
      <c r="X4" s="275" t="s">
        <v>616</v>
      </c>
      <c r="Y4" s="275" t="s">
        <v>616</v>
      </c>
      <c r="Z4" s="275" t="s">
        <v>616</v>
      </c>
      <c r="AA4" s="275" t="s">
        <v>616</v>
      </c>
      <c r="AB4" s="275" t="s">
        <v>616</v>
      </c>
      <c r="AC4" s="275" t="s">
        <v>616</v>
      </c>
      <c r="AD4" s="275" t="s">
        <v>616</v>
      </c>
    </row>
    <row r="5" spans="1:30" customFormat="1" ht="12.75" customHeight="1" x14ac:dyDescent="0.25">
      <c r="A5" s="295">
        <v>1</v>
      </c>
      <c r="B5" s="296" t="s">
        <v>889</v>
      </c>
      <c r="C5" s="297"/>
      <c r="D5" s="297"/>
      <c r="E5" s="297"/>
      <c r="F5" s="297"/>
      <c r="G5" s="298"/>
      <c r="H5" s="166"/>
      <c r="I5" s="166"/>
      <c r="J5" s="166"/>
      <c r="K5" s="166"/>
      <c r="L5" s="166"/>
      <c r="M5" s="166"/>
      <c r="N5" s="166"/>
      <c r="O5" s="166"/>
      <c r="P5" s="166"/>
      <c r="Q5" s="166"/>
      <c r="R5" s="166"/>
      <c r="S5" s="166"/>
      <c r="T5" s="166"/>
      <c r="U5" s="166"/>
      <c r="V5" s="166"/>
      <c r="W5" s="166"/>
      <c r="X5" s="166"/>
      <c r="Y5" s="166"/>
      <c r="Z5" s="166"/>
      <c r="AA5" s="166"/>
      <c r="AB5" s="166"/>
      <c r="AC5" s="166"/>
      <c r="AD5" s="166"/>
    </row>
    <row r="6" spans="1:30" customFormat="1" ht="12.75" customHeight="1" x14ac:dyDescent="0.25">
      <c r="A6" s="295" t="s">
        <v>621</v>
      </c>
      <c r="B6" s="299"/>
      <c r="C6" s="300" t="s">
        <v>890</v>
      </c>
      <c r="D6" s="301"/>
      <c r="E6" s="301"/>
      <c r="F6" s="301"/>
      <c r="G6" s="302"/>
      <c r="H6" s="174">
        <v>1893</v>
      </c>
      <c r="I6" s="1">
        <v>27700</v>
      </c>
      <c r="J6" s="1">
        <v>-12</v>
      </c>
      <c r="K6" s="1">
        <v>623</v>
      </c>
      <c r="L6" s="1">
        <v>290</v>
      </c>
      <c r="M6" s="1">
        <v>0</v>
      </c>
      <c r="N6" s="1">
        <v>0</v>
      </c>
      <c r="O6" s="1">
        <v>68</v>
      </c>
      <c r="P6" s="303">
        <f t="shared" ref="P6:P50" si="0">SUM(H6:O6)</f>
        <v>30562</v>
      </c>
      <c r="Q6" s="1">
        <v>32010</v>
      </c>
      <c r="R6" s="1">
        <v>113</v>
      </c>
      <c r="S6" s="1">
        <v>14782</v>
      </c>
      <c r="T6" s="1">
        <v>0</v>
      </c>
      <c r="U6" s="1">
        <v>2627</v>
      </c>
      <c r="V6" s="1">
        <v>2945</v>
      </c>
      <c r="W6" s="1">
        <v>6917</v>
      </c>
      <c r="X6" s="1">
        <v>146</v>
      </c>
      <c r="Y6" s="1">
        <v>2492</v>
      </c>
      <c r="Z6" s="1">
        <v>398</v>
      </c>
      <c r="AA6" s="1">
        <v>1031</v>
      </c>
      <c r="AB6" s="1">
        <v>1233</v>
      </c>
      <c r="AC6" s="1">
        <v>1624</v>
      </c>
      <c r="AD6" s="303">
        <f t="shared" ref="AD6:AD50" si="1">SUM(P6:AC6)</f>
        <v>96880</v>
      </c>
    </row>
    <row r="7" spans="1:30" customFormat="1" ht="12.75" customHeight="1" x14ac:dyDescent="0.25">
      <c r="A7" s="295" t="s">
        <v>623</v>
      </c>
      <c r="B7" s="299"/>
      <c r="C7" s="300" t="s">
        <v>891</v>
      </c>
      <c r="D7" s="301"/>
      <c r="E7" s="301"/>
      <c r="F7" s="301"/>
      <c r="G7" s="302"/>
      <c r="H7" s="1">
        <v>29</v>
      </c>
      <c r="I7" s="1">
        <v>0</v>
      </c>
      <c r="J7" s="1">
        <v>0</v>
      </c>
      <c r="K7" s="1">
        <v>0</v>
      </c>
      <c r="L7" s="1">
        <v>0</v>
      </c>
      <c r="M7" s="1">
        <v>0</v>
      </c>
      <c r="N7" s="1">
        <v>0</v>
      </c>
      <c r="O7" s="1">
        <v>0</v>
      </c>
      <c r="P7" s="303">
        <f t="shared" si="0"/>
        <v>29</v>
      </c>
      <c r="Q7" s="1">
        <v>0</v>
      </c>
      <c r="R7" s="1">
        <v>0</v>
      </c>
      <c r="S7" s="1">
        <v>0</v>
      </c>
      <c r="T7" s="1">
        <v>0</v>
      </c>
      <c r="U7" s="1">
        <v>4</v>
      </c>
      <c r="V7" s="1">
        <v>0</v>
      </c>
      <c r="W7" s="1">
        <v>0</v>
      </c>
      <c r="X7" s="1">
        <v>0</v>
      </c>
      <c r="Y7" s="1">
        <v>0</v>
      </c>
      <c r="Z7" s="1">
        <v>0</v>
      </c>
      <c r="AA7" s="1">
        <v>0</v>
      </c>
      <c r="AB7" s="1">
        <v>0</v>
      </c>
      <c r="AC7" s="1">
        <v>0</v>
      </c>
      <c r="AD7" s="303">
        <f t="shared" si="1"/>
        <v>33</v>
      </c>
    </row>
    <row r="8" spans="1:30" customFormat="1" ht="12.75" customHeight="1" x14ac:dyDescent="0.25">
      <c r="A8" s="295" t="s">
        <v>625</v>
      </c>
      <c r="B8" s="299"/>
      <c r="C8" s="300" t="s">
        <v>892</v>
      </c>
      <c r="D8" s="301"/>
      <c r="E8" s="301"/>
      <c r="F8" s="301"/>
      <c r="G8" s="302"/>
      <c r="H8" s="1">
        <v>0</v>
      </c>
      <c r="I8" s="1">
        <v>3</v>
      </c>
      <c r="J8" s="1">
        <v>0</v>
      </c>
      <c r="K8" s="1">
        <v>0</v>
      </c>
      <c r="L8" s="1">
        <v>15</v>
      </c>
      <c r="M8" s="1">
        <v>0</v>
      </c>
      <c r="N8" s="1">
        <v>0</v>
      </c>
      <c r="O8" s="1">
        <v>0</v>
      </c>
      <c r="P8" s="303">
        <f t="shared" si="0"/>
        <v>18</v>
      </c>
      <c r="Q8" s="1">
        <v>79</v>
      </c>
      <c r="R8" s="1">
        <v>-9</v>
      </c>
      <c r="S8" s="1">
        <v>66</v>
      </c>
      <c r="T8" s="1">
        <v>0</v>
      </c>
      <c r="U8" s="1">
        <v>0</v>
      </c>
      <c r="V8" s="1">
        <v>-40</v>
      </c>
      <c r="W8" s="1">
        <v>0</v>
      </c>
      <c r="X8" s="1">
        <v>0</v>
      </c>
      <c r="Y8" s="1">
        <v>0</v>
      </c>
      <c r="Z8" s="1">
        <v>0</v>
      </c>
      <c r="AA8" s="1">
        <v>0</v>
      </c>
      <c r="AB8" s="1">
        <v>0</v>
      </c>
      <c r="AC8" s="1">
        <v>0</v>
      </c>
      <c r="AD8" s="303">
        <f t="shared" si="1"/>
        <v>114</v>
      </c>
    </row>
    <row r="9" spans="1:30" customFormat="1" ht="12.75" customHeight="1" x14ac:dyDescent="0.25">
      <c r="A9" s="295" t="s">
        <v>627</v>
      </c>
      <c r="B9" s="299"/>
      <c r="C9" s="300" t="s">
        <v>893</v>
      </c>
      <c r="D9" s="301"/>
      <c r="E9" s="301"/>
      <c r="F9" s="301"/>
      <c r="G9" s="302"/>
      <c r="H9" s="1">
        <v>0</v>
      </c>
      <c r="I9" s="1">
        <v>816</v>
      </c>
      <c r="J9" s="1">
        <v>0</v>
      </c>
      <c r="K9" s="1">
        <v>25</v>
      </c>
      <c r="L9" s="1">
        <v>981</v>
      </c>
      <c r="M9" s="1">
        <v>104</v>
      </c>
      <c r="N9" s="1">
        <v>0</v>
      </c>
      <c r="O9" s="1">
        <v>28</v>
      </c>
      <c r="P9" s="303">
        <f t="shared" si="0"/>
        <v>1954</v>
      </c>
      <c r="Q9" s="1">
        <v>730</v>
      </c>
      <c r="R9" s="1">
        <v>2</v>
      </c>
      <c r="S9" s="1">
        <v>26</v>
      </c>
      <c r="T9" s="1">
        <v>0</v>
      </c>
      <c r="U9" s="1">
        <v>0</v>
      </c>
      <c r="V9" s="1">
        <v>174</v>
      </c>
      <c r="W9" s="1">
        <v>14</v>
      </c>
      <c r="X9" s="1">
        <v>0</v>
      </c>
      <c r="Y9" s="1">
        <v>0</v>
      </c>
      <c r="Z9" s="1">
        <v>31</v>
      </c>
      <c r="AA9" s="1">
        <v>87</v>
      </c>
      <c r="AB9" s="1">
        <v>0</v>
      </c>
      <c r="AC9" s="1">
        <v>141</v>
      </c>
      <c r="AD9" s="303">
        <f t="shared" si="1"/>
        <v>3159</v>
      </c>
    </row>
    <row r="10" spans="1:30" customFormat="1" ht="12.75" customHeight="1" x14ac:dyDescent="0.25">
      <c r="A10" s="295" t="s">
        <v>629</v>
      </c>
      <c r="B10" s="299"/>
      <c r="C10" s="300" t="s">
        <v>894</v>
      </c>
      <c r="D10" s="301"/>
      <c r="E10" s="301"/>
      <c r="F10" s="301"/>
      <c r="G10" s="302"/>
      <c r="H10" s="1">
        <v>0</v>
      </c>
      <c r="I10" s="1">
        <v>0</v>
      </c>
      <c r="J10" s="1">
        <v>0</v>
      </c>
      <c r="K10" s="1">
        <v>0</v>
      </c>
      <c r="L10" s="1">
        <v>51</v>
      </c>
      <c r="M10" s="1">
        <v>0</v>
      </c>
      <c r="N10" s="1">
        <v>0</v>
      </c>
      <c r="O10" s="1">
        <v>0</v>
      </c>
      <c r="P10" s="303">
        <f t="shared" si="0"/>
        <v>51</v>
      </c>
      <c r="Q10" s="1">
        <v>0</v>
      </c>
      <c r="R10" s="1">
        <v>0</v>
      </c>
      <c r="S10" s="1">
        <v>0</v>
      </c>
      <c r="T10" s="1">
        <v>0</v>
      </c>
      <c r="U10" s="1">
        <v>0</v>
      </c>
      <c r="V10" s="1">
        <v>0</v>
      </c>
      <c r="W10" s="1">
        <v>0</v>
      </c>
      <c r="X10" s="1">
        <v>0</v>
      </c>
      <c r="Y10" s="1">
        <v>0</v>
      </c>
      <c r="Z10" s="1">
        <v>0</v>
      </c>
      <c r="AA10" s="1">
        <v>0</v>
      </c>
      <c r="AB10" s="1">
        <v>0</v>
      </c>
      <c r="AC10" s="1">
        <v>0</v>
      </c>
      <c r="AD10" s="303">
        <f t="shared" si="1"/>
        <v>51</v>
      </c>
    </row>
    <row r="11" spans="1:30" customFormat="1" ht="12.75" customHeight="1" x14ac:dyDescent="0.25">
      <c r="A11" s="295" t="s">
        <v>631</v>
      </c>
      <c r="B11" s="299"/>
      <c r="C11" s="300" t="s">
        <v>895</v>
      </c>
      <c r="D11" s="301"/>
      <c r="E11" s="301"/>
      <c r="F11" s="301"/>
      <c r="G11" s="302"/>
      <c r="H11" s="1">
        <v>0</v>
      </c>
      <c r="I11" s="1">
        <v>0</v>
      </c>
      <c r="J11" s="1">
        <v>0</v>
      </c>
      <c r="K11" s="1">
        <v>0</v>
      </c>
      <c r="L11" s="1">
        <v>0</v>
      </c>
      <c r="M11" s="1">
        <v>0</v>
      </c>
      <c r="N11" s="1">
        <v>0</v>
      </c>
      <c r="O11" s="1">
        <v>0</v>
      </c>
      <c r="P11" s="303">
        <f t="shared" si="0"/>
        <v>0</v>
      </c>
      <c r="Q11" s="1">
        <v>0</v>
      </c>
      <c r="R11" s="1">
        <v>0</v>
      </c>
      <c r="S11" s="1">
        <v>0</v>
      </c>
      <c r="T11" s="1">
        <v>0</v>
      </c>
      <c r="U11" s="1">
        <v>0</v>
      </c>
      <c r="V11" s="1">
        <v>0</v>
      </c>
      <c r="W11" s="1">
        <v>0</v>
      </c>
      <c r="X11" s="1">
        <v>0</v>
      </c>
      <c r="Y11" s="1">
        <v>0</v>
      </c>
      <c r="Z11" s="1">
        <v>0</v>
      </c>
      <c r="AA11" s="1">
        <v>0</v>
      </c>
      <c r="AB11" s="1">
        <v>0</v>
      </c>
      <c r="AC11" s="1">
        <v>0</v>
      </c>
      <c r="AD11" s="303">
        <f t="shared" si="1"/>
        <v>0</v>
      </c>
    </row>
    <row r="12" spans="1:30" customFormat="1" ht="12.75" customHeight="1" x14ac:dyDescent="0.25">
      <c r="A12" s="295" t="s">
        <v>633</v>
      </c>
      <c r="B12" s="299"/>
      <c r="C12" s="300" t="s">
        <v>896</v>
      </c>
      <c r="D12" s="301"/>
      <c r="E12" s="301"/>
      <c r="F12" s="301"/>
      <c r="G12" s="302"/>
      <c r="H12" s="1">
        <v>0</v>
      </c>
      <c r="I12" s="1">
        <v>0</v>
      </c>
      <c r="J12" s="1">
        <v>0</v>
      </c>
      <c r="K12" s="1">
        <v>0</v>
      </c>
      <c r="L12" s="1">
        <v>0</v>
      </c>
      <c r="M12" s="1">
        <v>0</v>
      </c>
      <c r="N12" s="1">
        <v>0</v>
      </c>
      <c r="O12" s="1">
        <v>0</v>
      </c>
      <c r="P12" s="303">
        <f t="shared" si="0"/>
        <v>0</v>
      </c>
      <c r="Q12" s="1">
        <v>0</v>
      </c>
      <c r="R12" s="1">
        <v>0</v>
      </c>
      <c r="S12" s="1">
        <v>0</v>
      </c>
      <c r="T12" s="1">
        <v>0</v>
      </c>
      <c r="U12" s="1">
        <v>0</v>
      </c>
      <c r="V12" s="1">
        <v>0</v>
      </c>
      <c r="W12" s="1">
        <v>0</v>
      </c>
      <c r="X12" s="1">
        <v>0</v>
      </c>
      <c r="Y12" s="1">
        <v>0</v>
      </c>
      <c r="Z12" s="1">
        <v>0</v>
      </c>
      <c r="AA12" s="1">
        <v>0</v>
      </c>
      <c r="AB12" s="1">
        <v>0</v>
      </c>
      <c r="AC12" s="1">
        <v>0</v>
      </c>
      <c r="AD12" s="303">
        <f t="shared" si="1"/>
        <v>0</v>
      </c>
    </row>
    <row r="13" spans="1:30" customFormat="1" ht="12.75" customHeight="1" x14ac:dyDescent="0.25">
      <c r="A13" s="295" t="s">
        <v>723</v>
      </c>
      <c r="B13" s="299"/>
      <c r="C13" s="300" t="s">
        <v>897</v>
      </c>
      <c r="D13" s="301"/>
      <c r="E13" s="301"/>
      <c r="F13" s="301"/>
      <c r="G13" s="302"/>
      <c r="H13" s="1">
        <v>0</v>
      </c>
      <c r="I13" s="1">
        <v>0</v>
      </c>
      <c r="J13" s="1">
        <v>0</v>
      </c>
      <c r="K13" s="1">
        <v>0</v>
      </c>
      <c r="L13" s="1">
        <v>0</v>
      </c>
      <c r="M13" s="1">
        <v>0</v>
      </c>
      <c r="N13" s="1">
        <v>0</v>
      </c>
      <c r="O13" s="1">
        <v>0</v>
      </c>
      <c r="P13" s="303">
        <f t="shared" si="0"/>
        <v>0</v>
      </c>
      <c r="Q13" s="1">
        <v>0</v>
      </c>
      <c r="R13" s="1">
        <v>0</v>
      </c>
      <c r="S13" s="1">
        <v>0</v>
      </c>
      <c r="T13" s="1">
        <v>0</v>
      </c>
      <c r="U13" s="1">
        <v>0</v>
      </c>
      <c r="V13" s="1">
        <v>0</v>
      </c>
      <c r="W13" s="1">
        <v>0</v>
      </c>
      <c r="X13" s="1">
        <v>0</v>
      </c>
      <c r="Y13" s="1">
        <v>0</v>
      </c>
      <c r="Z13" s="1">
        <v>0</v>
      </c>
      <c r="AA13" s="1">
        <v>0</v>
      </c>
      <c r="AB13" s="1">
        <v>0</v>
      </c>
      <c r="AC13" s="1">
        <v>0</v>
      </c>
      <c r="AD13" s="303">
        <f t="shared" si="1"/>
        <v>0</v>
      </c>
    </row>
    <row r="14" spans="1:30" customFormat="1" ht="12.75" customHeight="1" x14ac:dyDescent="0.25">
      <c r="A14" s="295" t="s">
        <v>725</v>
      </c>
      <c r="B14" s="299"/>
      <c r="C14" s="300" t="s">
        <v>898</v>
      </c>
      <c r="D14" s="301"/>
      <c r="E14" s="301"/>
      <c r="F14" s="301"/>
      <c r="G14" s="302"/>
      <c r="H14" s="1">
        <v>15498</v>
      </c>
      <c r="I14" s="1">
        <v>1649</v>
      </c>
      <c r="J14" s="1">
        <v>200</v>
      </c>
      <c r="K14" s="1">
        <v>-6</v>
      </c>
      <c r="L14" s="1">
        <v>0</v>
      </c>
      <c r="M14" s="1">
        <v>0</v>
      </c>
      <c r="N14" s="1">
        <v>0</v>
      </c>
      <c r="O14" s="1">
        <v>0</v>
      </c>
      <c r="P14" s="303">
        <f t="shared" si="0"/>
        <v>17341</v>
      </c>
      <c r="Q14" s="1">
        <v>1877</v>
      </c>
      <c r="R14" s="1">
        <v>0</v>
      </c>
      <c r="S14" s="1">
        <v>6448</v>
      </c>
      <c r="T14" s="1">
        <v>0</v>
      </c>
      <c r="U14" s="1">
        <v>1091</v>
      </c>
      <c r="V14" s="1">
        <v>403</v>
      </c>
      <c r="W14" s="1">
        <v>812</v>
      </c>
      <c r="X14" s="1">
        <v>0</v>
      </c>
      <c r="Y14" s="1">
        <v>144</v>
      </c>
      <c r="Z14" s="1">
        <v>6</v>
      </c>
      <c r="AA14" s="1">
        <v>3699</v>
      </c>
      <c r="AB14" s="1">
        <v>826</v>
      </c>
      <c r="AC14" s="1">
        <v>328</v>
      </c>
      <c r="AD14" s="303">
        <f t="shared" si="1"/>
        <v>32975</v>
      </c>
    </row>
    <row r="15" spans="1:30" customFormat="1" ht="12.75" customHeight="1" x14ac:dyDescent="0.25">
      <c r="A15" s="295" t="s">
        <v>727</v>
      </c>
      <c r="B15" s="299"/>
      <c r="C15" s="300" t="s">
        <v>899</v>
      </c>
      <c r="D15" s="301"/>
      <c r="E15" s="301"/>
      <c r="F15" s="301"/>
      <c r="G15" s="302"/>
      <c r="H15" s="1">
        <v>0</v>
      </c>
      <c r="I15" s="1">
        <v>0</v>
      </c>
      <c r="J15" s="1">
        <v>0</v>
      </c>
      <c r="K15" s="1">
        <v>0</v>
      </c>
      <c r="L15" s="1">
        <v>0</v>
      </c>
      <c r="M15" s="1">
        <v>0</v>
      </c>
      <c r="N15" s="1">
        <v>0</v>
      </c>
      <c r="O15" s="1">
        <v>0</v>
      </c>
      <c r="P15" s="303">
        <f t="shared" si="0"/>
        <v>0</v>
      </c>
      <c r="Q15" s="1">
        <v>0</v>
      </c>
      <c r="R15" s="1">
        <v>0</v>
      </c>
      <c r="S15" s="1">
        <v>0</v>
      </c>
      <c r="T15" s="1">
        <v>0</v>
      </c>
      <c r="U15" s="1">
        <v>0</v>
      </c>
      <c r="V15" s="1">
        <v>0</v>
      </c>
      <c r="W15" s="1">
        <v>0</v>
      </c>
      <c r="X15" s="1">
        <v>0</v>
      </c>
      <c r="Y15" s="1">
        <v>0</v>
      </c>
      <c r="Z15" s="1">
        <v>0</v>
      </c>
      <c r="AA15" s="1">
        <v>0</v>
      </c>
      <c r="AB15" s="1">
        <v>0</v>
      </c>
      <c r="AC15" s="1">
        <v>0</v>
      </c>
      <c r="AD15" s="303">
        <f t="shared" si="1"/>
        <v>0</v>
      </c>
    </row>
    <row r="16" spans="1:30" customFormat="1" ht="12.75" customHeight="1" x14ac:dyDescent="0.25">
      <c r="A16" s="295" t="s">
        <v>900</v>
      </c>
      <c r="B16" s="299"/>
      <c r="C16" s="300" t="s">
        <v>901</v>
      </c>
      <c r="D16" s="301"/>
      <c r="E16" s="301"/>
      <c r="F16" s="301"/>
      <c r="G16" s="302"/>
      <c r="H16" s="1">
        <v>137</v>
      </c>
      <c r="I16" s="1">
        <v>0</v>
      </c>
      <c r="J16" s="1">
        <v>6251</v>
      </c>
      <c r="K16" s="1">
        <v>188</v>
      </c>
      <c r="L16" s="1">
        <v>126</v>
      </c>
      <c r="M16" s="1">
        <v>-11</v>
      </c>
      <c r="N16" s="1">
        <v>40</v>
      </c>
      <c r="O16" s="1">
        <v>34</v>
      </c>
      <c r="P16" s="303">
        <f t="shared" si="0"/>
        <v>6765</v>
      </c>
      <c r="Q16" s="1">
        <v>409</v>
      </c>
      <c r="R16" s="1">
        <v>21</v>
      </c>
      <c r="S16" s="1">
        <v>2650</v>
      </c>
      <c r="T16" s="1">
        <v>0</v>
      </c>
      <c r="U16" s="1">
        <v>1993</v>
      </c>
      <c r="V16" s="1">
        <v>580</v>
      </c>
      <c r="W16" s="1">
        <v>2411</v>
      </c>
      <c r="X16" s="1">
        <v>0</v>
      </c>
      <c r="Y16" s="1">
        <v>0</v>
      </c>
      <c r="Z16" s="1">
        <v>43</v>
      </c>
      <c r="AA16" s="1">
        <v>25</v>
      </c>
      <c r="AB16" s="1">
        <v>7</v>
      </c>
      <c r="AC16" s="1">
        <v>40</v>
      </c>
      <c r="AD16" s="303">
        <f t="shared" si="1"/>
        <v>14944</v>
      </c>
    </row>
    <row r="17" spans="1:30" customFormat="1" ht="12.75" customHeight="1" x14ac:dyDescent="0.25">
      <c r="A17" s="295" t="s">
        <v>902</v>
      </c>
      <c r="B17" s="299"/>
      <c r="C17" s="300" t="s">
        <v>903</v>
      </c>
      <c r="D17" s="301"/>
      <c r="E17" s="301"/>
      <c r="F17" s="301"/>
      <c r="G17" s="302"/>
      <c r="H17" s="1">
        <v>4427</v>
      </c>
      <c r="I17" s="1">
        <v>5102</v>
      </c>
      <c r="J17" s="1">
        <v>729</v>
      </c>
      <c r="K17" s="1">
        <v>424</v>
      </c>
      <c r="L17" s="1">
        <v>0</v>
      </c>
      <c r="M17" s="1">
        <v>0</v>
      </c>
      <c r="N17" s="1">
        <v>56</v>
      </c>
      <c r="O17" s="1">
        <v>754</v>
      </c>
      <c r="P17" s="303">
        <f t="shared" si="0"/>
        <v>11492</v>
      </c>
      <c r="Q17" s="1">
        <v>18213</v>
      </c>
      <c r="R17" s="1">
        <v>195</v>
      </c>
      <c r="S17" s="1">
        <v>621</v>
      </c>
      <c r="T17" s="1">
        <v>0</v>
      </c>
      <c r="U17" s="1">
        <v>252</v>
      </c>
      <c r="V17" s="1">
        <v>430</v>
      </c>
      <c r="W17" s="1">
        <v>3819</v>
      </c>
      <c r="X17" s="1">
        <v>33</v>
      </c>
      <c r="Y17" s="1">
        <v>4</v>
      </c>
      <c r="Z17" s="1">
        <v>298</v>
      </c>
      <c r="AA17" s="1">
        <v>244</v>
      </c>
      <c r="AB17" s="1">
        <v>203</v>
      </c>
      <c r="AC17" s="1">
        <v>3188</v>
      </c>
      <c r="AD17" s="303">
        <f t="shared" si="1"/>
        <v>38992</v>
      </c>
    </row>
    <row r="18" spans="1:30" customFormat="1" ht="12.75" customHeight="1" x14ac:dyDescent="0.25">
      <c r="A18" s="295" t="s">
        <v>904</v>
      </c>
      <c r="B18" s="299"/>
      <c r="C18" s="300" t="s">
        <v>905</v>
      </c>
      <c r="D18" s="301"/>
      <c r="E18" s="301"/>
      <c r="F18" s="301"/>
      <c r="G18" s="302"/>
      <c r="H18" s="1">
        <v>403</v>
      </c>
      <c r="I18" s="1">
        <v>25</v>
      </c>
      <c r="J18" s="1">
        <v>232</v>
      </c>
      <c r="K18" s="1">
        <v>4141</v>
      </c>
      <c r="L18" s="1">
        <v>0</v>
      </c>
      <c r="M18" s="1">
        <v>0</v>
      </c>
      <c r="N18" s="1">
        <v>12</v>
      </c>
      <c r="O18" s="1">
        <v>-24</v>
      </c>
      <c r="P18" s="303">
        <f t="shared" si="0"/>
        <v>4789</v>
      </c>
      <c r="Q18" s="1">
        <v>755</v>
      </c>
      <c r="R18" s="1">
        <v>2</v>
      </c>
      <c r="S18" s="1">
        <v>363</v>
      </c>
      <c r="T18" s="1">
        <v>0</v>
      </c>
      <c r="U18" s="1">
        <v>567</v>
      </c>
      <c r="V18" s="1">
        <v>220</v>
      </c>
      <c r="W18" s="1">
        <v>2588</v>
      </c>
      <c r="X18" s="1">
        <v>0</v>
      </c>
      <c r="Y18" s="1">
        <v>20</v>
      </c>
      <c r="Z18" s="1">
        <v>0</v>
      </c>
      <c r="AA18" s="1">
        <v>0</v>
      </c>
      <c r="AB18" s="1">
        <v>13</v>
      </c>
      <c r="AC18" s="1">
        <v>91</v>
      </c>
      <c r="AD18" s="303">
        <f t="shared" si="1"/>
        <v>9408</v>
      </c>
    </row>
    <row r="19" spans="1:30" customFormat="1" ht="12.75" customHeight="1" x14ac:dyDescent="0.25">
      <c r="A19" s="295" t="s">
        <v>906</v>
      </c>
      <c r="B19" s="299"/>
      <c r="C19" s="300" t="s">
        <v>907</v>
      </c>
      <c r="D19" s="301"/>
      <c r="E19" s="301"/>
      <c r="F19" s="301"/>
      <c r="G19" s="302"/>
      <c r="H19" s="1">
        <v>360</v>
      </c>
      <c r="I19" s="1">
        <v>0</v>
      </c>
      <c r="J19" s="1">
        <v>14</v>
      </c>
      <c r="K19" s="1">
        <v>4165</v>
      </c>
      <c r="L19" s="1">
        <v>0</v>
      </c>
      <c r="M19" s="1">
        <v>0</v>
      </c>
      <c r="N19" s="1">
        <v>9858</v>
      </c>
      <c r="O19" s="1">
        <v>41</v>
      </c>
      <c r="P19" s="303">
        <f t="shared" si="0"/>
        <v>14438</v>
      </c>
      <c r="Q19" s="1">
        <v>401</v>
      </c>
      <c r="R19" s="1">
        <v>33</v>
      </c>
      <c r="S19" s="1">
        <v>217</v>
      </c>
      <c r="T19" s="1">
        <v>0</v>
      </c>
      <c r="U19" s="1">
        <v>196</v>
      </c>
      <c r="V19" s="1">
        <v>19</v>
      </c>
      <c r="W19" s="1">
        <v>5281</v>
      </c>
      <c r="X19" s="1">
        <v>0</v>
      </c>
      <c r="Y19" s="1">
        <v>0</v>
      </c>
      <c r="Z19" s="1">
        <v>11</v>
      </c>
      <c r="AA19" s="1">
        <v>0</v>
      </c>
      <c r="AB19" s="1">
        <v>178</v>
      </c>
      <c r="AC19" s="1">
        <v>47</v>
      </c>
      <c r="AD19" s="303">
        <f t="shared" si="1"/>
        <v>20821</v>
      </c>
    </row>
    <row r="20" spans="1:30" customFormat="1" ht="12.75" customHeight="1" x14ac:dyDescent="0.25">
      <c r="A20" s="295" t="s">
        <v>908</v>
      </c>
      <c r="B20" s="299"/>
      <c r="C20" s="300" t="s">
        <v>909</v>
      </c>
      <c r="D20" s="301"/>
      <c r="E20" s="301"/>
      <c r="F20" s="301"/>
      <c r="G20" s="302"/>
      <c r="H20" s="1">
        <v>0</v>
      </c>
      <c r="I20" s="1">
        <v>0</v>
      </c>
      <c r="J20" s="1">
        <v>0</v>
      </c>
      <c r="K20" s="1">
        <v>0</v>
      </c>
      <c r="L20" s="1">
        <v>0</v>
      </c>
      <c r="M20" s="1">
        <v>0</v>
      </c>
      <c r="N20" s="1">
        <v>0</v>
      </c>
      <c r="O20" s="1">
        <v>0</v>
      </c>
      <c r="P20" s="303">
        <f t="shared" si="0"/>
        <v>0</v>
      </c>
      <c r="Q20" s="1">
        <v>0</v>
      </c>
      <c r="R20" s="1">
        <v>0</v>
      </c>
      <c r="S20" s="1">
        <v>0</v>
      </c>
      <c r="T20" s="1">
        <v>0</v>
      </c>
      <c r="U20" s="1">
        <v>0</v>
      </c>
      <c r="V20" s="1">
        <v>0</v>
      </c>
      <c r="W20" s="1">
        <v>0</v>
      </c>
      <c r="X20" s="1">
        <v>0</v>
      </c>
      <c r="Y20" s="1">
        <v>0</v>
      </c>
      <c r="Z20" s="1">
        <v>0</v>
      </c>
      <c r="AA20" s="1">
        <v>0</v>
      </c>
      <c r="AB20" s="1">
        <v>0</v>
      </c>
      <c r="AC20" s="1">
        <v>0</v>
      </c>
      <c r="AD20" s="303">
        <f t="shared" si="1"/>
        <v>0</v>
      </c>
    </row>
    <row r="21" spans="1:30" customFormat="1" ht="12.75" customHeight="1" x14ac:dyDescent="0.25">
      <c r="A21" s="295" t="s">
        <v>910</v>
      </c>
      <c r="B21" s="299"/>
      <c r="C21" s="300" t="s">
        <v>911</v>
      </c>
      <c r="D21" s="301"/>
      <c r="E21" s="301"/>
      <c r="F21" s="301"/>
      <c r="G21" s="302"/>
      <c r="H21" s="1">
        <v>0</v>
      </c>
      <c r="I21" s="1">
        <v>0</v>
      </c>
      <c r="J21" s="1">
        <v>0</v>
      </c>
      <c r="K21" s="1">
        <v>1445</v>
      </c>
      <c r="L21" s="1">
        <v>0</v>
      </c>
      <c r="M21" s="1">
        <v>0</v>
      </c>
      <c r="N21" s="1">
        <v>1</v>
      </c>
      <c r="O21" s="1">
        <v>0</v>
      </c>
      <c r="P21" s="303">
        <f t="shared" si="0"/>
        <v>1446</v>
      </c>
      <c r="Q21" s="1">
        <v>41</v>
      </c>
      <c r="R21" s="1">
        <v>0</v>
      </c>
      <c r="S21" s="1">
        <v>2</v>
      </c>
      <c r="T21" s="1">
        <v>0</v>
      </c>
      <c r="U21" s="1">
        <v>25</v>
      </c>
      <c r="V21" s="1">
        <v>-14</v>
      </c>
      <c r="W21" s="1">
        <v>361</v>
      </c>
      <c r="X21" s="1">
        <v>0</v>
      </c>
      <c r="Y21" s="1">
        <v>0</v>
      </c>
      <c r="Z21" s="1">
        <v>19</v>
      </c>
      <c r="AA21" s="1">
        <v>0</v>
      </c>
      <c r="AB21" s="1">
        <v>20</v>
      </c>
      <c r="AC21" s="1">
        <v>0</v>
      </c>
      <c r="AD21" s="303">
        <f t="shared" si="1"/>
        <v>1900</v>
      </c>
    </row>
    <row r="22" spans="1:30" customFormat="1" ht="12.75" customHeight="1" x14ac:dyDescent="0.25">
      <c r="A22" s="295" t="s">
        <v>912</v>
      </c>
      <c r="B22" s="299"/>
      <c r="C22" s="300" t="s">
        <v>913</v>
      </c>
      <c r="D22" s="301"/>
      <c r="E22" s="301"/>
      <c r="F22" s="301"/>
      <c r="G22" s="302"/>
      <c r="H22" s="1">
        <v>0</v>
      </c>
      <c r="I22" s="1">
        <v>0</v>
      </c>
      <c r="J22" s="1">
        <v>0</v>
      </c>
      <c r="K22" s="1">
        <v>0</v>
      </c>
      <c r="L22" s="1">
        <v>0</v>
      </c>
      <c r="M22" s="1">
        <v>0</v>
      </c>
      <c r="N22" s="1">
        <v>0</v>
      </c>
      <c r="O22" s="1">
        <v>0</v>
      </c>
      <c r="P22" s="303">
        <f t="shared" si="0"/>
        <v>0</v>
      </c>
      <c r="Q22" s="1">
        <v>0</v>
      </c>
      <c r="R22" s="1">
        <v>0</v>
      </c>
      <c r="S22" s="1">
        <v>0</v>
      </c>
      <c r="T22" s="1">
        <v>0</v>
      </c>
      <c r="U22" s="1">
        <v>0</v>
      </c>
      <c r="V22" s="1">
        <v>0</v>
      </c>
      <c r="W22" s="1">
        <v>0</v>
      </c>
      <c r="X22" s="1">
        <v>0</v>
      </c>
      <c r="Y22" s="1">
        <v>0</v>
      </c>
      <c r="Z22" s="1">
        <v>0</v>
      </c>
      <c r="AA22" s="1">
        <v>0</v>
      </c>
      <c r="AB22" s="1">
        <v>0</v>
      </c>
      <c r="AC22" s="1">
        <v>0</v>
      </c>
      <c r="AD22" s="303">
        <f t="shared" si="1"/>
        <v>0</v>
      </c>
    </row>
    <row r="23" spans="1:30" customFormat="1" ht="12.75" customHeight="1" x14ac:dyDescent="0.25">
      <c r="A23" s="295" t="s">
        <v>914</v>
      </c>
      <c r="B23" s="299"/>
      <c r="C23" s="300" t="s">
        <v>915</v>
      </c>
      <c r="D23" s="301"/>
      <c r="E23" s="301"/>
      <c r="F23" s="301"/>
      <c r="G23" s="302"/>
      <c r="H23" s="1">
        <v>299</v>
      </c>
      <c r="I23" s="1">
        <v>55</v>
      </c>
      <c r="J23" s="1">
        <v>0</v>
      </c>
      <c r="K23" s="1">
        <v>2409</v>
      </c>
      <c r="L23" s="1">
        <v>1</v>
      </c>
      <c r="M23" s="1">
        <v>0</v>
      </c>
      <c r="N23" s="1">
        <v>0</v>
      </c>
      <c r="O23" s="1">
        <v>2</v>
      </c>
      <c r="P23" s="303">
        <f t="shared" si="0"/>
        <v>2766</v>
      </c>
      <c r="Q23" s="1">
        <v>218</v>
      </c>
      <c r="R23" s="1">
        <v>88</v>
      </c>
      <c r="S23" s="1">
        <v>32</v>
      </c>
      <c r="T23" s="1">
        <v>0</v>
      </c>
      <c r="U23" s="1">
        <v>189</v>
      </c>
      <c r="V23" s="1">
        <v>749</v>
      </c>
      <c r="W23" s="1">
        <v>423</v>
      </c>
      <c r="X23" s="1">
        <v>0</v>
      </c>
      <c r="Y23" s="1">
        <v>3</v>
      </c>
      <c r="Z23" s="1">
        <v>19</v>
      </c>
      <c r="AA23" s="1">
        <v>0</v>
      </c>
      <c r="AB23" s="1">
        <v>-9</v>
      </c>
      <c r="AC23" s="1">
        <v>282</v>
      </c>
      <c r="AD23" s="303">
        <f t="shared" si="1"/>
        <v>4760</v>
      </c>
    </row>
    <row r="24" spans="1:30" customFormat="1" ht="12.75" customHeight="1" x14ac:dyDescent="0.25">
      <c r="A24" s="295" t="s">
        <v>916</v>
      </c>
      <c r="B24" s="299"/>
      <c r="C24" s="300" t="s">
        <v>917</v>
      </c>
      <c r="D24" s="301"/>
      <c r="E24" s="301"/>
      <c r="F24" s="301"/>
      <c r="G24" s="302"/>
      <c r="H24" s="1">
        <v>94</v>
      </c>
      <c r="I24" s="1">
        <v>0</v>
      </c>
      <c r="J24" s="1">
        <v>0</v>
      </c>
      <c r="K24" s="1">
        <v>4176</v>
      </c>
      <c r="L24" s="1">
        <v>0</v>
      </c>
      <c r="M24" s="1">
        <v>0</v>
      </c>
      <c r="N24" s="1">
        <v>-1</v>
      </c>
      <c r="O24" s="1">
        <v>0</v>
      </c>
      <c r="P24" s="303">
        <f t="shared" si="0"/>
        <v>4269</v>
      </c>
      <c r="Q24" s="1">
        <v>102</v>
      </c>
      <c r="R24" s="1">
        <v>0</v>
      </c>
      <c r="S24" s="1">
        <v>503</v>
      </c>
      <c r="T24" s="1">
        <v>0</v>
      </c>
      <c r="U24" s="1">
        <v>1107</v>
      </c>
      <c r="V24" s="1">
        <v>498</v>
      </c>
      <c r="W24" s="1">
        <v>1310</v>
      </c>
      <c r="X24" s="1">
        <v>0</v>
      </c>
      <c r="Y24" s="1">
        <v>126</v>
      </c>
      <c r="Z24" s="1">
        <v>-38</v>
      </c>
      <c r="AA24" s="1">
        <v>0</v>
      </c>
      <c r="AB24" s="1">
        <v>117</v>
      </c>
      <c r="AC24" s="1">
        <v>46</v>
      </c>
      <c r="AD24" s="303">
        <f t="shared" si="1"/>
        <v>8040</v>
      </c>
    </row>
    <row r="25" spans="1:30" customFormat="1" ht="12.75" customHeight="1" x14ac:dyDescent="0.25">
      <c r="A25" s="295" t="s">
        <v>918</v>
      </c>
      <c r="B25" s="299"/>
      <c r="C25" s="300" t="s">
        <v>919</v>
      </c>
      <c r="D25" s="301"/>
      <c r="E25" s="301"/>
      <c r="F25" s="301"/>
      <c r="G25" s="302"/>
      <c r="H25" s="1">
        <v>0</v>
      </c>
      <c r="I25" s="1">
        <v>0</v>
      </c>
      <c r="J25" s="1">
        <v>4</v>
      </c>
      <c r="K25" s="1">
        <v>2695</v>
      </c>
      <c r="L25" s="1">
        <v>0</v>
      </c>
      <c r="M25" s="1">
        <v>0</v>
      </c>
      <c r="N25" s="1">
        <v>2</v>
      </c>
      <c r="O25" s="1">
        <v>0</v>
      </c>
      <c r="P25" s="303">
        <f t="shared" si="0"/>
        <v>2701</v>
      </c>
      <c r="Q25" s="1">
        <v>156</v>
      </c>
      <c r="R25" s="1">
        <v>0</v>
      </c>
      <c r="S25" s="1">
        <v>239</v>
      </c>
      <c r="T25" s="1">
        <v>0</v>
      </c>
      <c r="U25" s="1">
        <v>763</v>
      </c>
      <c r="V25" s="1">
        <v>589</v>
      </c>
      <c r="W25" s="1">
        <v>1125</v>
      </c>
      <c r="X25" s="1">
        <v>0</v>
      </c>
      <c r="Y25" s="1">
        <v>15</v>
      </c>
      <c r="Z25" s="1">
        <v>21</v>
      </c>
      <c r="AA25" s="1">
        <v>0</v>
      </c>
      <c r="AB25" s="1">
        <v>-13</v>
      </c>
      <c r="AC25" s="1">
        <v>17</v>
      </c>
      <c r="AD25" s="303">
        <f t="shared" si="1"/>
        <v>5613</v>
      </c>
    </row>
    <row r="26" spans="1:30" customFormat="1" ht="12.75" customHeight="1" x14ac:dyDescent="0.25">
      <c r="A26" s="295" t="s">
        <v>920</v>
      </c>
      <c r="B26" s="299"/>
      <c r="C26" s="300" t="s">
        <v>921</v>
      </c>
      <c r="D26" s="301"/>
      <c r="E26" s="301"/>
      <c r="F26" s="301"/>
      <c r="G26" s="302"/>
      <c r="H26" s="1">
        <v>175</v>
      </c>
      <c r="I26" s="1">
        <v>36</v>
      </c>
      <c r="J26" s="1">
        <v>4</v>
      </c>
      <c r="K26" s="1">
        <v>4289</v>
      </c>
      <c r="L26" s="1">
        <v>53</v>
      </c>
      <c r="M26" s="1">
        <v>28</v>
      </c>
      <c r="N26" s="1">
        <v>0</v>
      </c>
      <c r="O26" s="1">
        <v>99</v>
      </c>
      <c r="P26" s="303">
        <f t="shared" si="0"/>
        <v>4684</v>
      </c>
      <c r="Q26" s="1">
        <v>700</v>
      </c>
      <c r="R26" s="1">
        <v>0</v>
      </c>
      <c r="S26" s="1">
        <v>196</v>
      </c>
      <c r="T26" s="1">
        <v>0</v>
      </c>
      <c r="U26" s="1">
        <v>466</v>
      </c>
      <c r="V26" s="1">
        <v>261</v>
      </c>
      <c r="W26" s="1">
        <v>4663</v>
      </c>
      <c r="X26" s="1">
        <v>0</v>
      </c>
      <c r="Y26" s="1">
        <v>84</v>
      </c>
      <c r="Z26" s="1">
        <v>20</v>
      </c>
      <c r="AA26" s="1">
        <v>58</v>
      </c>
      <c r="AB26" s="1">
        <v>634</v>
      </c>
      <c r="AC26" s="1">
        <v>915</v>
      </c>
      <c r="AD26" s="303">
        <f t="shared" si="1"/>
        <v>12681</v>
      </c>
    </row>
    <row r="27" spans="1:30" customFormat="1" ht="12.75" customHeight="1" x14ac:dyDescent="0.25">
      <c r="A27" s="295" t="s">
        <v>922</v>
      </c>
      <c r="B27" s="299"/>
      <c r="C27" s="300" t="s">
        <v>923</v>
      </c>
      <c r="D27" s="301"/>
      <c r="E27" s="301"/>
      <c r="F27" s="301"/>
      <c r="G27" s="302"/>
      <c r="H27" s="1">
        <v>13</v>
      </c>
      <c r="I27" s="1">
        <v>0</v>
      </c>
      <c r="J27" s="1">
        <v>79</v>
      </c>
      <c r="K27" s="1">
        <v>1035</v>
      </c>
      <c r="L27" s="1">
        <v>3</v>
      </c>
      <c r="M27" s="1">
        <v>0</v>
      </c>
      <c r="N27" s="1">
        <v>67</v>
      </c>
      <c r="O27" s="1">
        <v>1</v>
      </c>
      <c r="P27" s="303">
        <f t="shared" si="0"/>
        <v>1198</v>
      </c>
      <c r="Q27" s="1">
        <v>663</v>
      </c>
      <c r="R27" s="1">
        <v>0</v>
      </c>
      <c r="S27" s="1">
        <v>62</v>
      </c>
      <c r="T27" s="1">
        <v>0</v>
      </c>
      <c r="U27" s="1">
        <v>63</v>
      </c>
      <c r="V27" s="1">
        <v>83</v>
      </c>
      <c r="W27" s="1">
        <v>831</v>
      </c>
      <c r="X27" s="1">
        <v>0</v>
      </c>
      <c r="Y27" s="1">
        <v>0</v>
      </c>
      <c r="Z27" s="1">
        <v>0</v>
      </c>
      <c r="AA27" s="1">
        <v>0</v>
      </c>
      <c r="AB27" s="1">
        <v>0</v>
      </c>
      <c r="AC27" s="1">
        <v>145</v>
      </c>
      <c r="AD27" s="303">
        <f t="shared" si="1"/>
        <v>3045</v>
      </c>
    </row>
    <row r="28" spans="1:30" customFormat="1" ht="12.75" customHeight="1" x14ac:dyDescent="0.25">
      <c r="A28" s="295" t="s">
        <v>924</v>
      </c>
      <c r="B28" s="299"/>
      <c r="C28" s="300" t="s">
        <v>925</v>
      </c>
      <c r="D28" s="301"/>
      <c r="E28" s="301"/>
      <c r="F28" s="301"/>
      <c r="G28" s="302"/>
      <c r="H28" s="1">
        <v>0</v>
      </c>
      <c r="I28" s="1">
        <v>0</v>
      </c>
      <c r="J28" s="1">
        <v>22</v>
      </c>
      <c r="K28" s="1">
        <v>3</v>
      </c>
      <c r="L28" s="1">
        <v>36</v>
      </c>
      <c r="M28" s="1">
        <v>0</v>
      </c>
      <c r="N28" s="1">
        <v>0</v>
      </c>
      <c r="O28" s="1">
        <v>14</v>
      </c>
      <c r="P28" s="303">
        <f t="shared" si="0"/>
        <v>75</v>
      </c>
      <c r="Q28" s="1">
        <v>17</v>
      </c>
      <c r="R28" s="1">
        <v>0</v>
      </c>
      <c r="S28" s="1">
        <v>152</v>
      </c>
      <c r="T28" s="1">
        <v>0</v>
      </c>
      <c r="U28" s="1">
        <v>40</v>
      </c>
      <c r="V28" s="1">
        <v>0</v>
      </c>
      <c r="W28" s="1">
        <v>0</v>
      </c>
      <c r="X28" s="1">
        <v>0</v>
      </c>
      <c r="Y28" s="1">
        <v>0</v>
      </c>
      <c r="Z28" s="1">
        <v>0</v>
      </c>
      <c r="AA28" s="1">
        <v>0</v>
      </c>
      <c r="AB28" s="1">
        <v>0</v>
      </c>
      <c r="AC28" s="1">
        <v>0</v>
      </c>
      <c r="AD28" s="303">
        <f t="shared" si="1"/>
        <v>284</v>
      </c>
    </row>
    <row r="29" spans="1:30" customFormat="1" ht="12.75" customHeight="1" x14ac:dyDescent="0.25">
      <c r="A29" s="295" t="s">
        <v>926</v>
      </c>
      <c r="B29" s="299"/>
      <c r="C29" s="300" t="s">
        <v>927</v>
      </c>
      <c r="D29" s="301"/>
      <c r="E29" s="301"/>
      <c r="F29" s="301"/>
      <c r="G29" s="302"/>
      <c r="H29" s="1">
        <v>292</v>
      </c>
      <c r="I29" s="1">
        <v>0</v>
      </c>
      <c r="J29" s="1">
        <v>487</v>
      </c>
      <c r="K29" s="1">
        <v>166</v>
      </c>
      <c r="L29" s="1">
        <v>1993</v>
      </c>
      <c r="M29" s="1">
        <v>43</v>
      </c>
      <c r="N29" s="1">
        <v>0</v>
      </c>
      <c r="O29" s="1">
        <v>5</v>
      </c>
      <c r="P29" s="303">
        <f t="shared" si="0"/>
        <v>2986</v>
      </c>
      <c r="Q29" s="1">
        <v>76</v>
      </c>
      <c r="R29" s="1">
        <v>0</v>
      </c>
      <c r="S29" s="1">
        <v>240</v>
      </c>
      <c r="T29" s="1">
        <v>0</v>
      </c>
      <c r="U29" s="1">
        <v>43</v>
      </c>
      <c r="V29" s="1">
        <v>68</v>
      </c>
      <c r="W29" s="1">
        <v>577</v>
      </c>
      <c r="X29" s="1">
        <v>0</v>
      </c>
      <c r="Y29" s="1">
        <v>3</v>
      </c>
      <c r="Z29" s="1">
        <v>161</v>
      </c>
      <c r="AA29" s="1">
        <v>0</v>
      </c>
      <c r="AB29" s="1">
        <v>0</v>
      </c>
      <c r="AC29" s="1">
        <v>1</v>
      </c>
      <c r="AD29" s="303">
        <f t="shared" si="1"/>
        <v>4155</v>
      </c>
    </row>
    <row r="30" spans="1:30" customFormat="1" ht="12.75" customHeight="1" x14ac:dyDescent="0.25">
      <c r="A30" s="295" t="s">
        <v>928</v>
      </c>
      <c r="B30" s="299"/>
      <c r="C30" s="300" t="s">
        <v>929</v>
      </c>
      <c r="D30" s="301"/>
      <c r="E30" s="301"/>
      <c r="F30" s="301"/>
      <c r="G30" s="302"/>
      <c r="H30" s="1">
        <v>0</v>
      </c>
      <c r="I30" s="1">
        <v>0</v>
      </c>
      <c r="J30" s="1">
        <v>0</v>
      </c>
      <c r="K30" s="1">
        <v>0</v>
      </c>
      <c r="L30" s="1">
        <v>185</v>
      </c>
      <c r="M30" s="1">
        <v>17</v>
      </c>
      <c r="N30" s="1">
        <v>0</v>
      </c>
      <c r="O30" s="1">
        <v>284</v>
      </c>
      <c r="P30" s="303">
        <f t="shared" si="0"/>
        <v>486</v>
      </c>
      <c r="Q30" s="1">
        <v>139</v>
      </c>
      <c r="R30" s="1">
        <v>0</v>
      </c>
      <c r="S30" s="1">
        <v>68</v>
      </c>
      <c r="T30" s="1">
        <v>0</v>
      </c>
      <c r="U30" s="1">
        <v>0</v>
      </c>
      <c r="V30" s="1">
        <v>15</v>
      </c>
      <c r="W30" s="1">
        <v>753</v>
      </c>
      <c r="X30" s="1">
        <v>0</v>
      </c>
      <c r="Y30" s="1">
        <v>0</v>
      </c>
      <c r="Z30" s="1">
        <v>0</v>
      </c>
      <c r="AA30" s="1">
        <v>15</v>
      </c>
      <c r="AB30" s="1">
        <v>-2</v>
      </c>
      <c r="AC30" s="1">
        <v>63</v>
      </c>
      <c r="AD30" s="303">
        <f t="shared" si="1"/>
        <v>1537</v>
      </c>
    </row>
    <row r="31" spans="1:30" customFormat="1" ht="12.75" customHeight="1" x14ac:dyDescent="0.25">
      <c r="A31" s="295" t="s">
        <v>930</v>
      </c>
      <c r="B31" s="299"/>
      <c r="C31" s="300" t="s">
        <v>931</v>
      </c>
      <c r="D31" s="301"/>
      <c r="E31" s="301"/>
      <c r="F31" s="301"/>
      <c r="G31" s="302"/>
      <c r="H31" s="1">
        <v>0</v>
      </c>
      <c r="I31" s="1">
        <v>0</v>
      </c>
      <c r="J31" s="1">
        <v>0</v>
      </c>
      <c r="K31" s="1">
        <v>0</v>
      </c>
      <c r="L31" s="1">
        <v>0</v>
      </c>
      <c r="M31" s="1">
        <v>13</v>
      </c>
      <c r="N31" s="1">
        <v>0</v>
      </c>
      <c r="O31" s="1">
        <v>0</v>
      </c>
      <c r="P31" s="303">
        <f t="shared" si="0"/>
        <v>13</v>
      </c>
      <c r="Q31" s="1">
        <v>84</v>
      </c>
      <c r="R31" s="1">
        <v>0</v>
      </c>
      <c r="S31" s="1">
        <v>70</v>
      </c>
      <c r="T31" s="1">
        <v>0</v>
      </c>
      <c r="U31" s="1">
        <v>0</v>
      </c>
      <c r="V31" s="1">
        <v>0</v>
      </c>
      <c r="W31" s="1">
        <v>0</v>
      </c>
      <c r="X31" s="1">
        <v>0</v>
      </c>
      <c r="Y31" s="1">
        <v>0</v>
      </c>
      <c r="Z31" s="1">
        <v>0</v>
      </c>
      <c r="AA31" s="1">
        <v>0</v>
      </c>
      <c r="AB31" s="1">
        <v>0</v>
      </c>
      <c r="AC31" s="1">
        <v>0</v>
      </c>
      <c r="AD31" s="303">
        <f t="shared" si="1"/>
        <v>167</v>
      </c>
    </row>
    <row r="32" spans="1:30" customFormat="1" ht="12.75" customHeight="1" x14ac:dyDescent="0.25">
      <c r="A32" s="295" t="s">
        <v>932</v>
      </c>
      <c r="B32" s="299"/>
      <c r="C32" s="300" t="s">
        <v>933</v>
      </c>
      <c r="D32" s="301"/>
      <c r="E32" s="301"/>
      <c r="F32" s="301"/>
      <c r="G32" s="302"/>
      <c r="H32" s="1">
        <v>0</v>
      </c>
      <c r="I32" s="1">
        <v>0</v>
      </c>
      <c r="J32" s="1">
        <v>0</v>
      </c>
      <c r="K32" s="1">
        <v>78</v>
      </c>
      <c r="L32" s="1">
        <v>365</v>
      </c>
      <c r="M32" s="1">
        <v>66</v>
      </c>
      <c r="N32" s="1">
        <v>0</v>
      </c>
      <c r="O32" s="1">
        <v>169</v>
      </c>
      <c r="P32" s="303">
        <f t="shared" si="0"/>
        <v>678</v>
      </c>
      <c r="Q32" s="1">
        <v>32</v>
      </c>
      <c r="R32" s="1">
        <v>0</v>
      </c>
      <c r="S32" s="1">
        <v>19</v>
      </c>
      <c r="T32" s="1">
        <v>0</v>
      </c>
      <c r="U32" s="1">
        <v>0</v>
      </c>
      <c r="V32" s="1">
        <v>-2</v>
      </c>
      <c r="W32" s="1">
        <v>1077</v>
      </c>
      <c r="X32" s="1">
        <v>0</v>
      </c>
      <c r="Y32" s="1">
        <v>0</v>
      </c>
      <c r="Z32" s="1">
        <v>0</v>
      </c>
      <c r="AA32" s="1">
        <v>5</v>
      </c>
      <c r="AB32" s="1">
        <v>0</v>
      </c>
      <c r="AC32" s="1">
        <v>18</v>
      </c>
      <c r="AD32" s="303">
        <f t="shared" si="1"/>
        <v>1827</v>
      </c>
    </row>
    <row r="33" spans="1:30" customFormat="1" ht="12.75" customHeight="1" x14ac:dyDescent="0.25">
      <c r="A33" s="295" t="s">
        <v>934</v>
      </c>
      <c r="B33" s="299"/>
      <c r="C33" s="300" t="s">
        <v>935</v>
      </c>
      <c r="D33" s="301"/>
      <c r="E33" s="301"/>
      <c r="F33" s="301"/>
      <c r="G33" s="302"/>
      <c r="H33" s="1">
        <v>0</v>
      </c>
      <c r="I33" s="1">
        <v>0</v>
      </c>
      <c r="J33" s="1">
        <v>0</v>
      </c>
      <c r="K33" s="1">
        <v>0</v>
      </c>
      <c r="L33" s="1">
        <v>745</v>
      </c>
      <c r="M33" s="1">
        <v>0</v>
      </c>
      <c r="N33" s="1">
        <v>0</v>
      </c>
      <c r="O33" s="1">
        <v>0</v>
      </c>
      <c r="P33" s="303">
        <f t="shared" si="0"/>
        <v>745</v>
      </c>
      <c r="Q33" s="1">
        <v>13</v>
      </c>
      <c r="R33" s="1">
        <v>0</v>
      </c>
      <c r="S33" s="1">
        <v>0</v>
      </c>
      <c r="T33" s="1">
        <v>0</v>
      </c>
      <c r="U33" s="1">
        <v>0</v>
      </c>
      <c r="V33" s="1">
        <v>-84</v>
      </c>
      <c r="W33" s="1">
        <v>341</v>
      </c>
      <c r="X33" s="1">
        <v>0</v>
      </c>
      <c r="Y33" s="1">
        <v>0</v>
      </c>
      <c r="Z33" s="1">
        <v>0</v>
      </c>
      <c r="AA33" s="1">
        <v>0</v>
      </c>
      <c r="AB33" s="1">
        <v>0</v>
      </c>
      <c r="AC33" s="1">
        <v>0</v>
      </c>
      <c r="AD33" s="303">
        <f t="shared" si="1"/>
        <v>1015</v>
      </c>
    </row>
    <row r="34" spans="1:30" customFormat="1" ht="12.75" customHeight="1" x14ac:dyDescent="0.25">
      <c r="A34" s="295" t="s">
        <v>936</v>
      </c>
      <c r="B34" s="299"/>
      <c r="C34" s="300" t="s">
        <v>937</v>
      </c>
      <c r="D34" s="301"/>
      <c r="E34" s="301"/>
      <c r="F34" s="301"/>
      <c r="G34" s="302"/>
      <c r="H34" s="1">
        <v>0</v>
      </c>
      <c r="I34" s="1">
        <v>0</v>
      </c>
      <c r="J34" s="1">
        <v>0</v>
      </c>
      <c r="K34" s="1">
        <v>0</v>
      </c>
      <c r="L34" s="1">
        <v>1317</v>
      </c>
      <c r="M34" s="1">
        <v>0</v>
      </c>
      <c r="N34" s="1">
        <v>0</v>
      </c>
      <c r="O34" s="1">
        <v>0</v>
      </c>
      <c r="P34" s="303">
        <f t="shared" si="0"/>
        <v>1317</v>
      </c>
      <c r="Q34" s="1">
        <v>72</v>
      </c>
      <c r="R34" s="1">
        <v>0</v>
      </c>
      <c r="S34" s="1">
        <v>0</v>
      </c>
      <c r="T34" s="1">
        <v>0</v>
      </c>
      <c r="U34" s="1">
        <v>0</v>
      </c>
      <c r="V34" s="1">
        <v>0</v>
      </c>
      <c r="W34" s="1">
        <v>31</v>
      </c>
      <c r="X34" s="1">
        <v>0</v>
      </c>
      <c r="Y34" s="1">
        <v>0</v>
      </c>
      <c r="Z34" s="1">
        <v>0</v>
      </c>
      <c r="AA34" s="1">
        <v>0</v>
      </c>
      <c r="AB34" s="1">
        <v>0</v>
      </c>
      <c r="AC34" s="1">
        <v>0</v>
      </c>
      <c r="AD34" s="303">
        <f t="shared" si="1"/>
        <v>1420</v>
      </c>
    </row>
    <row r="35" spans="1:30" customFormat="1" ht="12.75" customHeight="1" x14ac:dyDescent="0.25">
      <c r="A35" s="295" t="s">
        <v>938</v>
      </c>
      <c r="B35" s="299"/>
      <c r="C35" s="300" t="s">
        <v>939</v>
      </c>
      <c r="D35" s="301"/>
      <c r="E35" s="301"/>
      <c r="F35" s="301"/>
      <c r="G35" s="302"/>
      <c r="H35" s="1">
        <v>0</v>
      </c>
      <c r="I35" s="1">
        <v>0</v>
      </c>
      <c r="J35" s="1">
        <v>0</v>
      </c>
      <c r="K35" s="1">
        <v>0</v>
      </c>
      <c r="L35" s="1">
        <v>243</v>
      </c>
      <c r="M35" s="1">
        <v>2</v>
      </c>
      <c r="N35" s="1">
        <v>0</v>
      </c>
      <c r="O35" s="1">
        <v>13</v>
      </c>
      <c r="P35" s="303">
        <f t="shared" si="0"/>
        <v>258</v>
      </c>
      <c r="Q35" s="1">
        <v>277</v>
      </c>
      <c r="R35" s="1">
        <v>0</v>
      </c>
      <c r="S35" s="1">
        <v>943</v>
      </c>
      <c r="T35" s="1">
        <v>0</v>
      </c>
      <c r="U35" s="1">
        <v>0</v>
      </c>
      <c r="V35" s="1">
        <v>13</v>
      </c>
      <c r="W35" s="1">
        <v>112</v>
      </c>
      <c r="X35" s="1">
        <v>0</v>
      </c>
      <c r="Y35" s="1">
        <v>0</v>
      </c>
      <c r="Z35" s="1">
        <v>0</v>
      </c>
      <c r="AA35" s="1">
        <v>0</v>
      </c>
      <c r="AB35" s="1">
        <v>0</v>
      </c>
      <c r="AC35" s="1">
        <v>7</v>
      </c>
      <c r="AD35" s="303">
        <f t="shared" si="1"/>
        <v>1610</v>
      </c>
    </row>
    <row r="36" spans="1:30" customFormat="1" ht="12.75" customHeight="1" x14ac:dyDescent="0.25">
      <c r="A36" s="295" t="s">
        <v>940</v>
      </c>
      <c r="B36" s="299"/>
      <c r="C36" s="300" t="s">
        <v>941</v>
      </c>
      <c r="D36" s="301"/>
      <c r="E36" s="301"/>
      <c r="F36" s="301"/>
      <c r="G36" s="302"/>
      <c r="H36" s="1">
        <v>0</v>
      </c>
      <c r="I36" s="1">
        <v>10</v>
      </c>
      <c r="J36" s="1">
        <v>0</v>
      </c>
      <c r="K36" s="1">
        <v>0</v>
      </c>
      <c r="L36" s="1">
        <v>17</v>
      </c>
      <c r="M36" s="1">
        <v>0</v>
      </c>
      <c r="N36" s="1">
        <v>0</v>
      </c>
      <c r="O36" s="1">
        <v>2</v>
      </c>
      <c r="P36" s="303">
        <f t="shared" si="0"/>
        <v>29</v>
      </c>
      <c r="Q36" s="1">
        <v>106</v>
      </c>
      <c r="R36" s="1">
        <v>0</v>
      </c>
      <c r="S36" s="1">
        <v>4</v>
      </c>
      <c r="T36" s="1">
        <v>0</v>
      </c>
      <c r="U36" s="1">
        <v>0</v>
      </c>
      <c r="V36" s="1">
        <v>3</v>
      </c>
      <c r="W36" s="1">
        <v>30</v>
      </c>
      <c r="X36" s="1">
        <v>0</v>
      </c>
      <c r="Y36" s="1">
        <v>0</v>
      </c>
      <c r="Z36" s="1">
        <v>46</v>
      </c>
      <c r="AA36" s="1">
        <v>0</v>
      </c>
      <c r="AB36" s="1">
        <v>5</v>
      </c>
      <c r="AC36" s="1">
        <v>1</v>
      </c>
      <c r="AD36" s="303">
        <f t="shared" si="1"/>
        <v>224</v>
      </c>
    </row>
    <row r="37" spans="1:30" customFormat="1" ht="12.75" customHeight="1" x14ac:dyDescent="0.25">
      <c r="A37" s="295" t="s">
        <v>942</v>
      </c>
      <c r="B37" s="299"/>
      <c r="C37" s="300" t="s">
        <v>943</v>
      </c>
      <c r="D37" s="301"/>
      <c r="E37" s="301"/>
      <c r="F37" s="301"/>
      <c r="G37" s="302"/>
      <c r="H37" s="1">
        <v>105</v>
      </c>
      <c r="I37" s="1">
        <v>0</v>
      </c>
      <c r="J37" s="1">
        <v>15</v>
      </c>
      <c r="K37" s="1">
        <v>251</v>
      </c>
      <c r="L37" s="1">
        <v>1369</v>
      </c>
      <c r="M37" s="1">
        <v>0</v>
      </c>
      <c r="N37" s="1">
        <v>0</v>
      </c>
      <c r="O37" s="1">
        <v>79</v>
      </c>
      <c r="P37" s="303">
        <f t="shared" si="0"/>
        <v>1819</v>
      </c>
      <c r="Q37" s="1">
        <v>185</v>
      </c>
      <c r="R37" s="1">
        <v>0</v>
      </c>
      <c r="S37" s="1">
        <v>180</v>
      </c>
      <c r="T37" s="1">
        <v>0</v>
      </c>
      <c r="U37" s="1">
        <v>89</v>
      </c>
      <c r="V37" s="1">
        <v>354</v>
      </c>
      <c r="W37" s="1">
        <v>640</v>
      </c>
      <c r="X37" s="1">
        <v>0</v>
      </c>
      <c r="Y37" s="1">
        <v>0</v>
      </c>
      <c r="Z37" s="1">
        <v>0</v>
      </c>
      <c r="AA37" s="1">
        <v>0</v>
      </c>
      <c r="AB37" s="1">
        <v>0</v>
      </c>
      <c r="AC37" s="1">
        <v>67</v>
      </c>
      <c r="AD37" s="303">
        <f t="shared" si="1"/>
        <v>3334</v>
      </c>
    </row>
    <row r="38" spans="1:30" customFormat="1" ht="12.75" customHeight="1" x14ac:dyDescent="0.25">
      <c r="A38" s="295" t="s">
        <v>944</v>
      </c>
      <c r="B38" s="299"/>
      <c r="C38" s="300" t="s">
        <v>945</v>
      </c>
      <c r="D38" s="301"/>
      <c r="E38" s="301"/>
      <c r="F38" s="301"/>
      <c r="G38" s="302"/>
      <c r="H38" s="1">
        <v>0</v>
      </c>
      <c r="I38" s="1">
        <v>0</v>
      </c>
      <c r="J38" s="1">
        <v>0</v>
      </c>
      <c r="K38" s="1">
        <v>13</v>
      </c>
      <c r="L38" s="1">
        <v>148</v>
      </c>
      <c r="M38" s="1">
        <v>39</v>
      </c>
      <c r="N38" s="1">
        <v>0</v>
      </c>
      <c r="O38" s="1">
        <v>4</v>
      </c>
      <c r="P38" s="303">
        <f t="shared" si="0"/>
        <v>204</v>
      </c>
      <c r="Q38" s="1">
        <v>11</v>
      </c>
      <c r="R38" s="1">
        <v>0</v>
      </c>
      <c r="S38" s="1">
        <v>17</v>
      </c>
      <c r="T38" s="1">
        <v>0</v>
      </c>
      <c r="U38" s="1">
        <v>28</v>
      </c>
      <c r="V38" s="1">
        <v>42</v>
      </c>
      <c r="W38" s="1">
        <v>173</v>
      </c>
      <c r="X38" s="1">
        <v>0</v>
      </c>
      <c r="Y38" s="1">
        <v>90</v>
      </c>
      <c r="Z38" s="1">
        <v>37</v>
      </c>
      <c r="AA38" s="1">
        <v>0</v>
      </c>
      <c r="AB38" s="1">
        <v>111</v>
      </c>
      <c r="AC38" s="1">
        <v>15</v>
      </c>
      <c r="AD38" s="303">
        <f t="shared" si="1"/>
        <v>728</v>
      </c>
    </row>
    <row r="39" spans="1:30" customFormat="1" ht="12.75" customHeight="1" x14ac:dyDescent="0.25">
      <c r="A39" s="295" t="s">
        <v>946</v>
      </c>
      <c r="B39" s="299"/>
      <c r="C39" s="300" t="s">
        <v>947</v>
      </c>
      <c r="D39" s="301"/>
      <c r="E39" s="301"/>
      <c r="F39" s="301"/>
      <c r="G39" s="302"/>
      <c r="H39" s="1">
        <v>0</v>
      </c>
      <c r="I39" s="1">
        <v>0</v>
      </c>
      <c r="J39" s="1">
        <v>0</v>
      </c>
      <c r="K39" s="1">
        <v>0</v>
      </c>
      <c r="L39" s="1">
        <v>0</v>
      </c>
      <c r="M39" s="1">
        <v>0</v>
      </c>
      <c r="N39" s="1">
        <v>0</v>
      </c>
      <c r="O39" s="1">
        <v>0</v>
      </c>
      <c r="P39" s="303">
        <f t="shared" si="0"/>
        <v>0</v>
      </c>
      <c r="Q39" s="1">
        <v>0</v>
      </c>
      <c r="R39" s="1">
        <v>0</v>
      </c>
      <c r="S39" s="1">
        <v>0</v>
      </c>
      <c r="T39" s="1">
        <v>0</v>
      </c>
      <c r="U39" s="1">
        <v>0</v>
      </c>
      <c r="V39" s="1">
        <v>0</v>
      </c>
      <c r="W39" s="1">
        <v>0</v>
      </c>
      <c r="X39" s="1">
        <v>0</v>
      </c>
      <c r="Y39" s="1">
        <v>0</v>
      </c>
      <c r="Z39" s="1">
        <v>0</v>
      </c>
      <c r="AA39" s="1">
        <v>0</v>
      </c>
      <c r="AB39" s="1">
        <v>0</v>
      </c>
      <c r="AC39" s="1">
        <v>0</v>
      </c>
      <c r="AD39" s="303">
        <f t="shared" si="1"/>
        <v>0</v>
      </c>
    </row>
    <row r="40" spans="1:30" customFormat="1" ht="12.75" customHeight="1" x14ac:dyDescent="0.25">
      <c r="A40" s="295" t="s">
        <v>948</v>
      </c>
      <c r="B40" s="299"/>
      <c r="C40" s="300" t="s">
        <v>949</v>
      </c>
      <c r="D40" s="301"/>
      <c r="E40" s="301"/>
      <c r="F40" s="301"/>
      <c r="G40" s="302"/>
      <c r="H40" s="1">
        <v>0</v>
      </c>
      <c r="I40" s="1">
        <v>0</v>
      </c>
      <c r="J40" s="1">
        <v>23</v>
      </c>
      <c r="K40" s="1">
        <v>0</v>
      </c>
      <c r="L40" s="1">
        <v>332</v>
      </c>
      <c r="M40" s="1">
        <v>0</v>
      </c>
      <c r="N40" s="1">
        <v>0</v>
      </c>
      <c r="O40" s="1">
        <v>0</v>
      </c>
      <c r="P40" s="303">
        <f t="shared" si="0"/>
        <v>355</v>
      </c>
      <c r="Q40" s="1">
        <v>188</v>
      </c>
      <c r="R40" s="1">
        <v>0</v>
      </c>
      <c r="S40" s="1">
        <v>514</v>
      </c>
      <c r="T40" s="1">
        <v>0</v>
      </c>
      <c r="U40" s="1">
        <v>20</v>
      </c>
      <c r="V40" s="1">
        <v>62</v>
      </c>
      <c r="W40" s="1">
        <v>131</v>
      </c>
      <c r="X40" s="1">
        <v>0</v>
      </c>
      <c r="Y40" s="1">
        <v>0</v>
      </c>
      <c r="Z40" s="1">
        <v>0</v>
      </c>
      <c r="AA40" s="1">
        <v>27</v>
      </c>
      <c r="AB40" s="1">
        <v>0</v>
      </c>
      <c r="AC40" s="1">
        <v>0</v>
      </c>
      <c r="AD40" s="303">
        <f t="shared" si="1"/>
        <v>1297</v>
      </c>
    </row>
    <row r="41" spans="1:30" customFormat="1" ht="12.75" customHeight="1" x14ac:dyDescent="0.25">
      <c r="A41" s="295" t="s">
        <v>950</v>
      </c>
      <c r="B41" s="299"/>
      <c r="C41" s="300" t="s">
        <v>951</v>
      </c>
      <c r="D41" s="301"/>
      <c r="E41" s="301"/>
      <c r="F41" s="301"/>
      <c r="G41" s="302"/>
      <c r="H41" s="1">
        <v>0</v>
      </c>
      <c r="I41" s="1">
        <v>0</v>
      </c>
      <c r="J41" s="1">
        <v>0</v>
      </c>
      <c r="K41" s="1">
        <v>0</v>
      </c>
      <c r="L41" s="1">
        <v>0</v>
      </c>
      <c r="M41" s="1">
        <v>0</v>
      </c>
      <c r="N41" s="1">
        <v>0</v>
      </c>
      <c r="O41" s="1">
        <v>0</v>
      </c>
      <c r="P41" s="303">
        <f t="shared" si="0"/>
        <v>0</v>
      </c>
      <c r="Q41" s="1">
        <v>0</v>
      </c>
      <c r="R41" s="1">
        <v>0</v>
      </c>
      <c r="S41" s="1">
        <v>0</v>
      </c>
      <c r="T41" s="1">
        <v>0</v>
      </c>
      <c r="U41" s="1">
        <v>0</v>
      </c>
      <c r="V41" s="1">
        <v>0</v>
      </c>
      <c r="W41" s="1">
        <v>0</v>
      </c>
      <c r="X41" s="1">
        <v>0</v>
      </c>
      <c r="Y41" s="1">
        <v>0</v>
      </c>
      <c r="Z41" s="1">
        <v>0</v>
      </c>
      <c r="AA41" s="1">
        <v>0</v>
      </c>
      <c r="AB41" s="1">
        <v>0</v>
      </c>
      <c r="AC41" s="1">
        <v>0</v>
      </c>
      <c r="AD41" s="303">
        <f t="shared" si="1"/>
        <v>0</v>
      </c>
    </row>
    <row r="42" spans="1:30" customFormat="1" ht="12.75" customHeight="1" x14ac:dyDescent="0.25">
      <c r="A42" s="295" t="s">
        <v>952</v>
      </c>
      <c r="B42" s="299"/>
      <c r="C42" s="300" t="s">
        <v>953</v>
      </c>
      <c r="D42" s="301"/>
      <c r="E42" s="301"/>
      <c r="F42" s="301"/>
      <c r="G42" s="302"/>
      <c r="H42" s="1">
        <v>0</v>
      </c>
      <c r="I42" s="1">
        <v>0</v>
      </c>
      <c r="J42" s="1">
        <v>0</v>
      </c>
      <c r="K42" s="1">
        <v>0</v>
      </c>
      <c r="L42" s="1">
        <v>140</v>
      </c>
      <c r="M42" s="1">
        <v>456</v>
      </c>
      <c r="N42" s="1">
        <v>0</v>
      </c>
      <c r="O42" s="1">
        <v>360</v>
      </c>
      <c r="P42" s="303">
        <f t="shared" si="0"/>
        <v>956</v>
      </c>
      <c r="Q42" s="1">
        <v>394</v>
      </c>
      <c r="R42" s="1">
        <v>0</v>
      </c>
      <c r="S42" s="1">
        <v>0</v>
      </c>
      <c r="T42" s="1">
        <v>0</v>
      </c>
      <c r="U42" s="1">
        <v>2</v>
      </c>
      <c r="V42" s="1">
        <v>35</v>
      </c>
      <c r="W42" s="1">
        <v>460</v>
      </c>
      <c r="X42" s="1">
        <v>0</v>
      </c>
      <c r="Y42" s="1">
        <v>0</v>
      </c>
      <c r="Z42" s="1">
        <v>11</v>
      </c>
      <c r="AA42" s="1">
        <v>1</v>
      </c>
      <c r="AB42" s="1">
        <v>0</v>
      </c>
      <c r="AC42" s="1">
        <v>2</v>
      </c>
      <c r="AD42" s="303">
        <f t="shared" si="1"/>
        <v>1861</v>
      </c>
    </row>
    <row r="43" spans="1:30" customFormat="1" ht="12.75" customHeight="1" x14ac:dyDescent="0.25">
      <c r="A43" s="295" t="s">
        <v>954</v>
      </c>
      <c r="B43" s="299"/>
      <c r="C43" s="300" t="s">
        <v>955</v>
      </c>
      <c r="D43" s="301"/>
      <c r="E43" s="301"/>
      <c r="F43" s="301"/>
      <c r="G43" s="302"/>
      <c r="H43" s="1">
        <v>0</v>
      </c>
      <c r="I43" s="1">
        <v>0</v>
      </c>
      <c r="J43" s="1">
        <v>0</v>
      </c>
      <c r="K43" s="1">
        <v>0</v>
      </c>
      <c r="L43" s="1">
        <v>139</v>
      </c>
      <c r="M43" s="1">
        <v>90</v>
      </c>
      <c r="N43" s="1">
        <v>0</v>
      </c>
      <c r="O43" s="1">
        <v>44</v>
      </c>
      <c r="P43" s="303">
        <f t="shared" si="0"/>
        <v>273</v>
      </c>
      <c r="Q43" s="1">
        <v>99</v>
      </c>
      <c r="R43" s="1">
        <v>0</v>
      </c>
      <c r="S43" s="1">
        <v>0</v>
      </c>
      <c r="T43" s="1">
        <v>0</v>
      </c>
      <c r="U43" s="1">
        <v>0</v>
      </c>
      <c r="V43" s="1">
        <v>0</v>
      </c>
      <c r="W43" s="1">
        <v>0</v>
      </c>
      <c r="X43" s="1">
        <v>0</v>
      </c>
      <c r="Y43" s="1">
        <v>0</v>
      </c>
      <c r="Z43" s="1">
        <v>0</v>
      </c>
      <c r="AA43" s="1">
        <v>13</v>
      </c>
      <c r="AB43" s="1">
        <v>0</v>
      </c>
      <c r="AC43" s="1">
        <v>0</v>
      </c>
      <c r="AD43" s="303">
        <f t="shared" si="1"/>
        <v>385</v>
      </c>
    </row>
    <row r="44" spans="1:30" customFormat="1" ht="12.75" customHeight="1" x14ac:dyDescent="0.25">
      <c r="A44" s="295" t="s">
        <v>956</v>
      </c>
      <c r="B44" s="299"/>
      <c r="C44" s="300" t="s">
        <v>957</v>
      </c>
      <c r="D44" s="301"/>
      <c r="E44" s="301"/>
      <c r="F44" s="301"/>
      <c r="G44" s="302"/>
      <c r="H44" s="1">
        <v>0</v>
      </c>
      <c r="I44" s="1">
        <v>0</v>
      </c>
      <c r="J44" s="1">
        <v>10</v>
      </c>
      <c r="K44" s="1">
        <v>0</v>
      </c>
      <c r="L44" s="1">
        <v>8</v>
      </c>
      <c r="M44" s="1">
        <v>333</v>
      </c>
      <c r="N44" s="1">
        <v>0</v>
      </c>
      <c r="O44" s="1">
        <v>0</v>
      </c>
      <c r="P44" s="303">
        <f t="shared" si="0"/>
        <v>351</v>
      </c>
      <c r="Q44" s="1">
        <v>83</v>
      </c>
      <c r="R44" s="1">
        <v>0</v>
      </c>
      <c r="S44" s="1">
        <v>0</v>
      </c>
      <c r="T44" s="1">
        <v>0</v>
      </c>
      <c r="U44" s="1">
        <v>0</v>
      </c>
      <c r="V44" s="1">
        <v>0</v>
      </c>
      <c r="W44" s="1">
        <v>75</v>
      </c>
      <c r="X44" s="1">
        <v>0</v>
      </c>
      <c r="Y44" s="1">
        <v>0</v>
      </c>
      <c r="Z44" s="1">
        <v>0</v>
      </c>
      <c r="AA44" s="1">
        <v>0</v>
      </c>
      <c r="AB44" s="1">
        <v>0</v>
      </c>
      <c r="AC44" s="1">
        <v>0</v>
      </c>
      <c r="AD44" s="303">
        <f t="shared" si="1"/>
        <v>509</v>
      </c>
    </row>
    <row r="45" spans="1:30" customFormat="1" ht="12.75" customHeight="1" x14ac:dyDescent="0.25">
      <c r="A45" s="295" t="s">
        <v>958</v>
      </c>
      <c r="B45" s="299"/>
      <c r="C45" s="300" t="s">
        <v>959</v>
      </c>
      <c r="D45" s="301"/>
      <c r="E45" s="301"/>
      <c r="F45" s="301"/>
      <c r="G45" s="302"/>
      <c r="H45" s="1">
        <v>0</v>
      </c>
      <c r="I45" s="1">
        <v>0</v>
      </c>
      <c r="J45" s="1">
        <v>0</v>
      </c>
      <c r="K45" s="1">
        <v>0</v>
      </c>
      <c r="L45" s="1">
        <v>0</v>
      </c>
      <c r="M45" s="1">
        <v>73</v>
      </c>
      <c r="N45" s="1">
        <v>0</v>
      </c>
      <c r="O45" s="1">
        <v>87</v>
      </c>
      <c r="P45" s="303">
        <f t="shared" si="0"/>
        <v>160</v>
      </c>
      <c r="Q45" s="1">
        <v>136</v>
      </c>
      <c r="R45" s="1">
        <v>0</v>
      </c>
      <c r="S45" s="1">
        <v>0</v>
      </c>
      <c r="T45" s="1">
        <v>0</v>
      </c>
      <c r="U45" s="1">
        <v>0</v>
      </c>
      <c r="V45" s="1">
        <v>0</v>
      </c>
      <c r="W45" s="1">
        <v>349</v>
      </c>
      <c r="X45" s="1">
        <v>0</v>
      </c>
      <c r="Y45" s="1">
        <v>0</v>
      </c>
      <c r="Z45" s="1">
        <v>0</v>
      </c>
      <c r="AA45" s="1">
        <v>0</v>
      </c>
      <c r="AB45" s="1">
        <v>0</v>
      </c>
      <c r="AC45" s="1">
        <v>0</v>
      </c>
      <c r="AD45" s="303">
        <f t="shared" si="1"/>
        <v>645</v>
      </c>
    </row>
    <row r="46" spans="1:30" customFormat="1" ht="12.75" customHeight="1" x14ac:dyDescent="0.25">
      <c r="A46" s="295" t="s">
        <v>960</v>
      </c>
      <c r="B46" s="299"/>
      <c r="C46" s="300" t="s">
        <v>961</v>
      </c>
      <c r="D46" s="301"/>
      <c r="E46" s="301"/>
      <c r="F46" s="301"/>
      <c r="G46" s="302"/>
      <c r="H46" s="1">
        <v>0</v>
      </c>
      <c r="I46" s="1">
        <v>0</v>
      </c>
      <c r="J46" s="1">
        <v>0</v>
      </c>
      <c r="K46" s="1">
        <v>0</v>
      </c>
      <c r="L46" s="1">
        <v>0</v>
      </c>
      <c r="M46" s="1">
        <v>0</v>
      </c>
      <c r="N46" s="1">
        <v>0</v>
      </c>
      <c r="O46" s="1">
        <v>0</v>
      </c>
      <c r="P46" s="303">
        <f t="shared" si="0"/>
        <v>0</v>
      </c>
      <c r="Q46" s="1">
        <v>29</v>
      </c>
      <c r="R46" s="1">
        <v>0</v>
      </c>
      <c r="S46" s="1">
        <v>0</v>
      </c>
      <c r="T46" s="1">
        <v>0</v>
      </c>
      <c r="U46" s="1">
        <v>0</v>
      </c>
      <c r="V46" s="1">
        <v>5</v>
      </c>
      <c r="W46" s="1">
        <v>615</v>
      </c>
      <c r="X46" s="1">
        <v>0</v>
      </c>
      <c r="Y46" s="1">
        <v>0</v>
      </c>
      <c r="Z46" s="1">
        <v>0</v>
      </c>
      <c r="AA46" s="1">
        <v>199</v>
      </c>
      <c r="AB46" s="1">
        <v>0</v>
      </c>
      <c r="AC46" s="1">
        <v>0</v>
      </c>
      <c r="AD46" s="303">
        <f t="shared" si="1"/>
        <v>848</v>
      </c>
    </row>
    <row r="47" spans="1:30" customFormat="1" ht="12.75" customHeight="1" x14ac:dyDescent="0.25">
      <c r="A47" s="295" t="s">
        <v>962</v>
      </c>
      <c r="B47" s="299"/>
      <c r="C47" s="300" t="s">
        <v>963</v>
      </c>
      <c r="D47" s="301"/>
      <c r="E47" s="301"/>
      <c r="F47" s="301"/>
      <c r="G47" s="302"/>
      <c r="H47" s="1">
        <v>0</v>
      </c>
      <c r="I47" s="1">
        <v>0</v>
      </c>
      <c r="J47" s="1">
        <v>0</v>
      </c>
      <c r="K47" s="1">
        <v>0</v>
      </c>
      <c r="L47" s="1">
        <v>0</v>
      </c>
      <c r="M47" s="1">
        <v>268</v>
      </c>
      <c r="N47" s="1">
        <v>0</v>
      </c>
      <c r="O47" s="1">
        <v>7</v>
      </c>
      <c r="P47" s="303">
        <f t="shared" si="0"/>
        <v>275</v>
      </c>
      <c r="Q47" s="1">
        <v>68</v>
      </c>
      <c r="R47" s="1">
        <v>0</v>
      </c>
      <c r="S47" s="1">
        <v>0</v>
      </c>
      <c r="T47" s="1">
        <v>0</v>
      </c>
      <c r="U47" s="1">
        <v>0</v>
      </c>
      <c r="V47" s="1">
        <v>1</v>
      </c>
      <c r="W47" s="1">
        <v>0</v>
      </c>
      <c r="X47" s="1">
        <v>27</v>
      </c>
      <c r="Y47" s="1">
        <v>0</v>
      </c>
      <c r="Z47" s="1">
        <v>0</v>
      </c>
      <c r="AA47" s="1">
        <v>237</v>
      </c>
      <c r="AB47" s="1">
        <v>0</v>
      </c>
      <c r="AC47" s="1">
        <v>0</v>
      </c>
      <c r="AD47" s="303">
        <f t="shared" si="1"/>
        <v>608</v>
      </c>
    </row>
    <row r="48" spans="1:30" customFormat="1" ht="12.75" customHeight="1" x14ac:dyDescent="0.25">
      <c r="A48" s="295" t="s">
        <v>964</v>
      </c>
      <c r="B48" s="299"/>
      <c r="C48" s="300" t="s">
        <v>965</v>
      </c>
      <c r="D48" s="301"/>
      <c r="E48" s="301"/>
      <c r="F48" s="301"/>
      <c r="G48" s="302"/>
      <c r="H48" s="1">
        <v>0</v>
      </c>
      <c r="I48" s="1">
        <v>0</v>
      </c>
      <c r="J48" s="1">
        <v>0</v>
      </c>
      <c r="K48" s="1">
        <v>433</v>
      </c>
      <c r="L48" s="1">
        <v>50</v>
      </c>
      <c r="M48" s="1">
        <v>86</v>
      </c>
      <c r="N48" s="1">
        <v>0</v>
      </c>
      <c r="O48" s="1">
        <v>88</v>
      </c>
      <c r="P48" s="303">
        <f t="shared" si="0"/>
        <v>657</v>
      </c>
      <c r="Q48" s="1">
        <v>117</v>
      </c>
      <c r="R48" s="1">
        <v>0</v>
      </c>
      <c r="S48" s="1">
        <v>0</v>
      </c>
      <c r="T48" s="1">
        <v>0</v>
      </c>
      <c r="U48" s="1">
        <v>0</v>
      </c>
      <c r="V48" s="1">
        <v>81</v>
      </c>
      <c r="W48" s="1">
        <v>31</v>
      </c>
      <c r="X48" s="1">
        <v>0</v>
      </c>
      <c r="Y48" s="1">
        <v>0</v>
      </c>
      <c r="Z48" s="1">
        <v>117</v>
      </c>
      <c r="AA48" s="1">
        <v>7</v>
      </c>
      <c r="AB48" s="1">
        <v>0</v>
      </c>
      <c r="AC48" s="1">
        <v>73</v>
      </c>
      <c r="AD48" s="303">
        <f t="shared" si="1"/>
        <v>1083</v>
      </c>
    </row>
    <row r="49" spans="1:34" customFormat="1" ht="12.75" customHeight="1" x14ac:dyDescent="0.25">
      <c r="A49" s="295" t="s">
        <v>966</v>
      </c>
      <c r="B49" s="299"/>
      <c r="C49" s="300" t="s">
        <v>967</v>
      </c>
      <c r="D49" s="301"/>
      <c r="E49" s="301"/>
      <c r="F49" s="301"/>
      <c r="G49" s="302"/>
      <c r="H49" s="1">
        <v>0</v>
      </c>
      <c r="I49" s="1">
        <v>0</v>
      </c>
      <c r="J49" s="1">
        <v>0</v>
      </c>
      <c r="K49" s="1">
        <v>11</v>
      </c>
      <c r="L49" s="1">
        <v>0</v>
      </c>
      <c r="M49" s="1">
        <v>187</v>
      </c>
      <c r="N49" s="1">
        <v>0</v>
      </c>
      <c r="O49" s="1">
        <v>49</v>
      </c>
      <c r="P49" s="303">
        <f t="shared" si="0"/>
        <v>247</v>
      </c>
      <c r="Q49" s="1">
        <v>0</v>
      </c>
      <c r="R49" s="1">
        <v>16</v>
      </c>
      <c r="S49" s="1">
        <v>56</v>
      </c>
      <c r="T49" s="1">
        <v>0</v>
      </c>
      <c r="U49" s="1">
        <v>0</v>
      </c>
      <c r="V49" s="1">
        <v>0</v>
      </c>
      <c r="W49" s="1">
        <v>82</v>
      </c>
      <c r="X49" s="1">
        <v>0</v>
      </c>
      <c r="Y49" s="1">
        <v>0</v>
      </c>
      <c r="Z49" s="1">
        <v>0</v>
      </c>
      <c r="AA49" s="1">
        <v>0</v>
      </c>
      <c r="AB49" s="1">
        <v>0</v>
      </c>
      <c r="AC49" s="1">
        <v>1</v>
      </c>
      <c r="AD49" s="303">
        <f t="shared" si="1"/>
        <v>402</v>
      </c>
    </row>
    <row r="50" spans="1:34" customFormat="1" ht="12.75" customHeight="1" x14ac:dyDescent="0.25">
      <c r="A50" s="295" t="s">
        <v>968</v>
      </c>
      <c r="B50" s="299"/>
      <c r="C50" s="300" t="s">
        <v>969</v>
      </c>
      <c r="D50" s="301"/>
      <c r="E50" s="301"/>
      <c r="F50" s="301"/>
      <c r="G50" s="302"/>
      <c r="H50" s="1">
        <v>0</v>
      </c>
      <c r="I50" s="1">
        <v>0</v>
      </c>
      <c r="J50" s="1">
        <v>0</v>
      </c>
      <c r="K50" s="1">
        <v>0</v>
      </c>
      <c r="L50" s="1">
        <v>0</v>
      </c>
      <c r="M50" s="1">
        <v>0</v>
      </c>
      <c r="N50" s="1">
        <v>0</v>
      </c>
      <c r="O50" s="1">
        <v>0</v>
      </c>
      <c r="P50" s="303">
        <f t="shared" si="0"/>
        <v>0</v>
      </c>
      <c r="Q50" s="1">
        <v>0</v>
      </c>
      <c r="R50" s="1">
        <v>0</v>
      </c>
      <c r="S50" s="1">
        <v>0</v>
      </c>
      <c r="T50" s="1">
        <v>0</v>
      </c>
      <c r="U50" s="1">
        <v>0</v>
      </c>
      <c r="V50" s="1">
        <v>0</v>
      </c>
      <c r="W50" s="1">
        <v>0</v>
      </c>
      <c r="X50" s="1">
        <v>0</v>
      </c>
      <c r="Y50" s="1">
        <v>0</v>
      </c>
      <c r="Z50" s="1">
        <v>0</v>
      </c>
      <c r="AA50" s="1">
        <v>0</v>
      </c>
      <c r="AB50" s="1">
        <v>0</v>
      </c>
      <c r="AC50" s="1">
        <v>0</v>
      </c>
      <c r="AD50" s="303">
        <f t="shared" si="1"/>
        <v>0</v>
      </c>
    </row>
    <row r="51" spans="1:34" customFormat="1" ht="12.75" customHeight="1" x14ac:dyDescent="0.25">
      <c r="A51" s="295" t="s">
        <v>970</v>
      </c>
      <c r="B51" s="304" t="s">
        <v>971</v>
      </c>
      <c r="C51" s="305"/>
      <c r="D51" s="305"/>
      <c r="E51" s="305"/>
      <c r="F51" s="305"/>
      <c r="G51" s="306"/>
      <c r="H51" s="283">
        <f t="shared" ref="H51:AD51" si="2">SUM(H6:H50)</f>
        <v>23725</v>
      </c>
      <c r="I51" s="283">
        <f t="shared" si="2"/>
        <v>35396</v>
      </c>
      <c r="J51" s="283">
        <f t="shared" si="2"/>
        <v>8058</v>
      </c>
      <c r="K51" s="283">
        <f t="shared" si="2"/>
        <v>26564</v>
      </c>
      <c r="L51" s="283">
        <f t="shared" si="2"/>
        <v>8607</v>
      </c>
      <c r="M51" s="283">
        <f t="shared" si="2"/>
        <v>1794</v>
      </c>
      <c r="N51" s="283">
        <f t="shared" si="2"/>
        <v>10035</v>
      </c>
      <c r="O51" s="283">
        <f t="shared" si="2"/>
        <v>2208</v>
      </c>
      <c r="P51" s="283">
        <f t="shared" si="2"/>
        <v>116387</v>
      </c>
      <c r="Q51" s="283">
        <f t="shared" si="2"/>
        <v>58480</v>
      </c>
      <c r="R51" s="283">
        <f t="shared" si="2"/>
        <v>461</v>
      </c>
      <c r="S51" s="283">
        <f t="shared" si="2"/>
        <v>28470</v>
      </c>
      <c r="T51" s="283">
        <f t="shared" si="2"/>
        <v>0</v>
      </c>
      <c r="U51" s="283">
        <f t="shared" si="2"/>
        <v>9565</v>
      </c>
      <c r="V51" s="283">
        <f t="shared" si="2"/>
        <v>7490</v>
      </c>
      <c r="W51" s="283">
        <f t="shared" si="2"/>
        <v>36032</v>
      </c>
      <c r="X51" s="283">
        <f t="shared" si="2"/>
        <v>206</v>
      </c>
      <c r="Y51" s="283">
        <f t="shared" si="2"/>
        <v>2981</v>
      </c>
      <c r="Z51" s="283">
        <f t="shared" si="2"/>
        <v>1200</v>
      </c>
      <c r="AA51" s="283">
        <f t="shared" si="2"/>
        <v>5648</v>
      </c>
      <c r="AB51" s="283">
        <f t="shared" si="2"/>
        <v>3323</v>
      </c>
      <c r="AC51" s="283">
        <f t="shared" si="2"/>
        <v>7112</v>
      </c>
      <c r="AD51" s="283">
        <f t="shared" si="2"/>
        <v>277355</v>
      </c>
    </row>
    <row r="52" spans="1:34" customFormat="1" ht="12.75" customHeight="1" x14ac:dyDescent="0.25">
      <c r="A52" s="295"/>
      <c r="B52" s="11"/>
      <c r="C52" s="301"/>
      <c r="D52" s="301"/>
      <c r="E52" s="301"/>
      <c r="F52" s="301"/>
      <c r="G52" s="20"/>
      <c r="H52" s="307"/>
      <c r="I52" s="307"/>
      <c r="J52" s="307"/>
      <c r="K52" s="307"/>
      <c r="L52" s="307"/>
      <c r="M52" s="307"/>
      <c r="N52" s="307"/>
      <c r="O52" s="307"/>
      <c r="P52" s="19"/>
      <c r="Q52" s="19"/>
      <c r="R52" s="19"/>
      <c r="S52" s="19"/>
      <c r="T52" s="19"/>
      <c r="U52" s="19"/>
      <c r="V52" s="19"/>
      <c r="W52" s="19"/>
      <c r="X52" s="19"/>
      <c r="Y52" s="19"/>
      <c r="Z52" s="19"/>
      <c r="AA52" s="19"/>
      <c r="AB52" s="19"/>
      <c r="AC52" s="19"/>
      <c r="AD52" s="19"/>
    </row>
    <row r="53" spans="1:34" customFormat="1" ht="12.75" customHeight="1" x14ac:dyDescent="0.25">
      <c r="A53" s="295">
        <v>2</v>
      </c>
      <c r="B53" s="299" t="s">
        <v>972</v>
      </c>
      <c r="C53" s="300"/>
      <c r="D53" s="300"/>
      <c r="E53" s="300"/>
      <c r="F53" s="300"/>
      <c r="G53" s="308"/>
      <c r="H53" s="1">
        <v>0</v>
      </c>
      <c r="I53" s="1">
        <v>0</v>
      </c>
      <c r="J53" s="1">
        <v>0</v>
      </c>
      <c r="K53" s="1">
        <v>0</v>
      </c>
      <c r="L53" s="1">
        <v>38</v>
      </c>
      <c r="M53" s="1">
        <v>0</v>
      </c>
      <c r="N53" s="1">
        <v>0</v>
      </c>
      <c r="O53" s="1">
        <v>0</v>
      </c>
      <c r="P53" s="303">
        <f>SUM(H53:O53)</f>
        <v>38</v>
      </c>
      <c r="Q53" s="6">
        <v>449</v>
      </c>
      <c r="R53" s="6">
        <v>0</v>
      </c>
      <c r="S53" s="6">
        <v>1722</v>
      </c>
      <c r="T53" s="6">
        <v>0</v>
      </c>
      <c r="U53" s="6">
        <v>0</v>
      </c>
      <c r="V53" s="6">
        <v>-10</v>
      </c>
      <c r="W53" s="6">
        <v>149</v>
      </c>
      <c r="X53" s="6">
        <v>0</v>
      </c>
      <c r="Y53" s="6">
        <v>0</v>
      </c>
      <c r="Z53" s="6">
        <v>0</v>
      </c>
      <c r="AA53" s="6">
        <v>0</v>
      </c>
      <c r="AB53" s="6">
        <v>0</v>
      </c>
      <c r="AC53" s="6">
        <v>0</v>
      </c>
      <c r="AD53" s="303">
        <f>SUM(P53:AC53)</f>
        <v>2348</v>
      </c>
    </row>
    <row r="54" spans="1:34" customFormat="1" ht="12.75" customHeight="1" x14ac:dyDescent="0.25">
      <c r="A54" s="295"/>
      <c r="B54" s="11"/>
      <c r="C54" s="301"/>
      <c r="D54" s="301"/>
      <c r="E54" s="301"/>
      <c r="F54" s="301"/>
      <c r="G54" s="20"/>
      <c r="H54" s="307"/>
      <c r="I54" s="307"/>
      <c r="J54" s="307"/>
      <c r="K54" s="307"/>
      <c r="L54" s="307"/>
      <c r="M54" s="307"/>
      <c r="N54" s="307"/>
      <c r="O54" s="307"/>
      <c r="P54" s="19"/>
      <c r="Q54" s="19"/>
      <c r="R54" s="19"/>
      <c r="S54" s="19"/>
      <c r="T54" s="19"/>
      <c r="U54" s="19"/>
      <c r="V54" s="19"/>
      <c r="W54" s="19"/>
      <c r="X54" s="19"/>
      <c r="Y54" s="19"/>
      <c r="Z54" s="19"/>
      <c r="AA54" s="19"/>
      <c r="AB54" s="19"/>
      <c r="AC54" s="19"/>
      <c r="AD54" s="19"/>
    </row>
    <row r="55" spans="1:34" customFormat="1" ht="12.75" customHeight="1" x14ac:dyDescent="0.25">
      <c r="A55" s="295">
        <v>3</v>
      </c>
      <c r="B55" s="296" t="s">
        <v>973</v>
      </c>
      <c r="C55" s="297"/>
      <c r="D55" s="297"/>
      <c r="E55" s="297"/>
      <c r="F55" s="297"/>
      <c r="G55" s="298"/>
      <c r="H55" s="309"/>
      <c r="I55" s="309"/>
      <c r="J55" s="309"/>
      <c r="K55" s="309"/>
      <c r="L55" s="309"/>
      <c r="M55" s="309"/>
      <c r="N55" s="309"/>
      <c r="O55" s="309"/>
      <c r="P55" s="166"/>
      <c r="Q55" s="166"/>
      <c r="R55" s="166"/>
      <c r="S55" s="166"/>
      <c r="T55" s="166"/>
      <c r="U55" s="166"/>
      <c r="V55" s="166"/>
      <c r="W55" s="166"/>
      <c r="X55" s="166"/>
      <c r="Y55" s="166"/>
      <c r="Z55" s="166"/>
      <c r="AA55" s="166"/>
      <c r="AB55" s="166"/>
      <c r="AC55" s="166"/>
      <c r="AD55" s="166"/>
    </row>
    <row r="56" spans="1:34" customFormat="1" ht="12.75" customHeight="1" x14ac:dyDescent="0.25">
      <c r="A56" s="295" t="s">
        <v>736</v>
      </c>
      <c r="B56" s="310"/>
      <c r="C56" s="300" t="s">
        <v>974</v>
      </c>
      <c r="D56" s="301"/>
      <c r="E56" s="301"/>
      <c r="F56" s="301"/>
      <c r="G56" s="302"/>
      <c r="H56" s="6">
        <v>0</v>
      </c>
      <c r="I56" s="6">
        <v>0</v>
      </c>
      <c r="J56" s="6">
        <v>0</v>
      </c>
      <c r="K56" s="6">
        <v>0</v>
      </c>
      <c r="L56" s="6">
        <v>0</v>
      </c>
      <c r="M56" s="6">
        <v>0</v>
      </c>
      <c r="N56" s="6">
        <v>0</v>
      </c>
      <c r="O56" s="6">
        <v>0</v>
      </c>
      <c r="P56" s="303">
        <f>SUM(H56:O56)</f>
        <v>0</v>
      </c>
      <c r="Q56" s="6">
        <v>0</v>
      </c>
      <c r="R56" s="6">
        <v>0</v>
      </c>
      <c r="S56" s="6">
        <v>76</v>
      </c>
      <c r="T56" s="6">
        <v>0</v>
      </c>
      <c r="U56" s="6">
        <v>0</v>
      </c>
      <c r="V56" s="6">
        <v>101</v>
      </c>
      <c r="W56" s="6">
        <v>26</v>
      </c>
      <c r="X56" s="6">
        <v>0</v>
      </c>
      <c r="Y56" s="6">
        <v>0</v>
      </c>
      <c r="Z56" s="6">
        <v>25</v>
      </c>
      <c r="AA56" s="6">
        <v>0</v>
      </c>
      <c r="AB56" s="6">
        <v>0</v>
      </c>
      <c r="AC56" s="6">
        <v>0</v>
      </c>
      <c r="AD56" s="303">
        <f>SUM(P56:AC56)</f>
        <v>228</v>
      </c>
    </row>
    <row r="57" spans="1:34" customFormat="1" ht="12.75" customHeight="1" x14ac:dyDescent="0.25">
      <c r="A57" s="295" t="s">
        <v>738</v>
      </c>
      <c r="B57" s="310"/>
      <c r="C57" s="300" t="s">
        <v>975</v>
      </c>
      <c r="D57" s="301"/>
      <c r="E57" s="301"/>
      <c r="F57" s="301"/>
      <c r="G57" s="302"/>
      <c r="H57" s="6">
        <v>0</v>
      </c>
      <c r="I57" s="6">
        <v>0</v>
      </c>
      <c r="J57" s="6">
        <v>0</v>
      </c>
      <c r="K57" s="6">
        <v>0</v>
      </c>
      <c r="L57" s="6">
        <v>0</v>
      </c>
      <c r="M57" s="6">
        <v>0</v>
      </c>
      <c r="N57" s="6">
        <v>0</v>
      </c>
      <c r="O57" s="6">
        <v>0</v>
      </c>
      <c r="P57" s="303">
        <f>SUM(H57:O57)</f>
        <v>0</v>
      </c>
      <c r="Q57" s="6">
        <v>0</v>
      </c>
      <c r="R57" s="6">
        <v>0</v>
      </c>
      <c r="S57" s="6">
        <v>0</v>
      </c>
      <c r="T57" s="6">
        <v>0</v>
      </c>
      <c r="U57" s="6">
        <v>0</v>
      </c>
      <c r="V57" s="6">
        <v>-227</v>
      </c>
      <c r="W57" s="6">
        <v>0</v>
      </c>
      <c r="X57" s="6">
        <v>0</v>
      </c>
      <c r="Y57" s="6">
        <v>0</v>
      </c>
      <c r="Z57" s="6">
        <v>0</v>
      </c>
      <c r="AA57" s="6">
        <v>0</v>
      </c>
      <c r="AB57" s="6">
        <v>0</v>
      </c>
      <c r="AC57" s="6">
        <v>0</v>
      </c>
      <c r="AD57" s="303">
        <f>SUM(P57:AC57)</f>
        <v>-227</v>
      </c>
    </row>
    <row r="58" spans="1:34" customFormat="1" ht="12.75" customHeight="1" x14ac:dyDescent="0.25">
      <c r="A58" s="295" t="s">
        <v>740</v>
      </c>
      <c r="B58" s="310"/>
      <c r="C58" s="300" t="s">
        <v>976</v>
      </c>
      <c r="D58" s="301"/>
      <c r="E58" s="301"/>
      <c r="F58" s="301"/>
      <c r="G58" s="302"/>
      <c r="H58" s="6">
        <v>0</v>
      </c>
      <c r="I58" s="6">
        <v>0</v>
      </c>
      <c r="J58" s="6">
        <v>0</v>
      </c>
      <c r="K58" s="6">
        <v>0</v>
      </c>
      <c r="L58" s="6">
        <v>0</v>
      </c>
      <c r="M58" s="6">
        <v>0</v>
      </c>
      <c r="N58" s="6">
        <v>0</v>
      </c>
      <c r="O58" s="6">
        <v>0</v>
      </c>
      <c r="P58" s="303">
        <f>SUM(H58:O58)</f>
        <v>0</v>
      </c>
      <c r="Q58" s="6">
        <v>0</v>
      </c>
      <c r="R58" s="6">
        <v>0</v>
      </c>
      <c r="S58" s="6">
        <v>0</v>
      </c>
      <c r="T58" s="6">
        <v>0</v>
      </c>
      <c r="U58" s="6">
        <v>0</v>
      </c>
      <c r="V58" s="6">
        <v>0</v>
      </c>
      <c r="W58" s="6">
        <v>0</v>
      </c>
      <c r="X58" s="6">
        <v>0</v>
      </c>
      <c r="Y58" s="6">
        <v>0</v>
      </c>
      <c r="Z58" s="6">
        <v>0</v>
      </c>
      <c r="AA58" s="6">
        <v>0</v>
      </c>
      <c r="AB58" s="6">
        <v>0</v>
      </c>
      <c r="AC58" s="6">
        <v>0</v>
      </c>
      <c r="AD58" s="303">
        <f>SUM(P58:AC58)</f>
        <v>0</v>
      </c>
    </row>
    <row r="59" spans="1:34" customFormat="1" ht="12.75" customHeight="1" x14ac:dyDescent="0.25">
      <c r="A59" s="295" t="s">
        <v>742</v>
      </c>
      <c r="B59" s="304" t="s">
        <v>977</v>
      </c>
      <c r="C59" s="305"/>
      <c r="D59" s="305"/>
      <c r="E59" s="305"/>
      <c r="F59" s="305"/>
      <c r="G59" s="306"/>
      <c r="H59" s="283">
        <f t="shared" ref="H59:AD59" si="3">SUM(H56:H58)</f>
        <v>0</v>
      </c>
      <c r="I59" s="283">
        <f t="shared" si="3"/>
        <v>0</v>
      </c>
      <c r="J59" s="283">
        <f t="shared" si="3"/>
        <v>0</v>
      </c>
      <c r="K59" s="283">
        <f t="shared" si="3"/>
        <v>0</v>
      </c>
      <c r="L59" s="283">
        <f t="shared" si="3"/>
        <v>0</v>
      </c>
      <c r="M59" s="283">
        <f t="shared" si="3"/>
        <v>0</v>
      </c>
      <c r="N59" s="283">
        <f t="shared" si="3"/>
        <v>0</v>
      </c>
      <c r="O59" s="283">
        <f t="shared" si="3"/>
        <v>0</v>
      </c>
      <c r="P59" s="283">
        <f t="shared" si="3"/>
        <v>0</v>
      </c>
      <c r="Q59" s="283">
        <f t="shared" si="3"/>
        <v>0</v>
      </c>
      <c r="R59" s="283">
        <f t="shared" si="3"/>
        <v>0</v>
      </c>
      <c r="S59" s="283">
        <f t="shared" si="3"/>
        <v>76</v>
      </c>
      <c r="T59" s="283">
        <f t="shared" si="3"/>
        <v>0</v>
      </c>
      <c r="U59" s="283">
        <f t="shared" si="3"/>
        <v>0</v>
      </c>
      <c r="V59" s="283">
        <f t="shared" si="3"/>
        <v>-126</v>
      </c>
      <c r="W59" s="283">
        <f t="shared" si="3"/>
        <v>26</v>
      </c>
      <c r="X59" s="283">
        <f t="shared" si="3"/>
        <v>0</v>
      </c>
      <c r="Y59" s="283">
        <f t="shared" si="3"/>
        <v>0</v>
      </c>
      <c r="Z59" s="283">
        <f t="shared" si="3"/>
        <v>25</v>
      </c>
      <c r="AA59" s="283">
        <f t="shared" si="3"/>
        <v>0</v>
      </c>
      <c r="AB59" s="283">
        <f t="shared" si="3"/>
        <v>0</v>
      </c>
      <c r="AC59" s="283">
        <f t="shared" si="3"/>
        <v>0</v>
      </c>
      <c r="AD59" s="283">
        <f t="shared" si="3"/>
        <v>1</v>
      </c>
    </row>
    <row r="60" spans="1:34" customFormat="1" ht="12.75" customHeight="1" x14ac:dyDescent="0.25">
      <c r="A60" s="295"/>
      <c r="B60" s="311"/>
      <c r="C60" s="312"/>
      <c r="D60" s="312"/>
      <c r="E60" s="312"/>
      <c r="F60" s="312"/>
      <c r="G60" s="313"/>
      <c r="H60" s="307"/>
      <c r="I60" s="307"/>
      <c r="J60" s="307"/>
      <c r="K60" s="307"/>
      <c r="L60" s="307"/>
      <c r="M60" s="307"/>
      <c r="N60" s="307"/>
      <c r="O60" s="307"/>
      <c r="P60" s="19"/>
      <c r="Q60" s="19"/>
      <c r="R60" s="19"/>
      <c r="S60" s="19"/>
      <c r="T60" s="19"/>
      <c r="U60" s="19"/>
      <c r="V60" s="19"/>
      <c r="W60" s="19"/>
      <c r="X60" s="19"/>
      <c r="Y60" s="19"/>
      <c r="Z60" s="19"/>
      <c r="AA60" s="19"/>
      <c r="AB60" s="19"/>
      <c r="AC60" s="19"/>
      <c r="AD60" s="19"/>
    </row>
    <row r="61" spans="1:34" customFormat="1" ht="12.75" customHeight="1" x14ac:dyDescent="0.25">
      <c r="A61" s="295">
        <v>4</v>
      </c>
      <c r="B61" s="304" t="s">
        <v>978</v>
      </c>
      <c r="C61" s="305"/>
      <c r="D61" s="305"/>
      <c r="E61" s="305"/>
      <c r="F61" s="305"/>
      <c r="G61" s="306"/>
      <c r="H61" s="283">
        <f t="shared" ref="H61:O61" si="4">H51+H53+H59</f>
        <v>23725</v>
      </c>
      <c r="I61" s="283">
        <f t="shared" si="4"/>
        <v>35396</v>
      </c>
      <c r="J61" s="283">
        <f t="shared" si="4"/>
        <v>8058</v>
      </c>
      <c r="K61" s="283">
        <f t="shared" si="4"/>
        <v>26564</v>
      </c>
      <c r="L61" s="283">
        <f t="shared" si="4"/>
        <v>8645</v>
      </c>
      <c r="M61" s="283">
        <f t="shared" si="4"/>
        <v>1794</v>
      </c>
      <c r="N61" s="283">
        <f t="shared" si="4"/>
        <v>10035</v>
      </c>
      <c r="O61" s="283">
        <f t="shared" si="4"/>
        <v>2208</v>
      </c>
      <c r="P61" s="283">
        <f>SUM(H61:O61)</f>
        <v>116425</v>
      </c>
      <c r="Q61" s="283">
        <f t="shared" ref="Q61:AD61" si="5">Q51+Q53+Q59</f>
        <v>58929</v>
      </c>
      <c r="R61" s="283">
        <f t="shared" si="5"/>
        <v>461</v>
      </c>
      <c r="S61" s="283">
        <f t="shared" si="5"/>
        <v>30268</v>
      </c>
      <c r="T61" s="283">
        <f t="shared" si="5"/>
        <v>0</v>
      </c>
      <c r="U61" s="283">
        <f t="shared" si="5"/>
        <v>9565</v>
      </c>
      <c r="V61" s="283">
        <f t="shared" si="5"/>
        <v>7354</v>
      </c>
      <c r="W61" s="283">
        <f t="shared" si="5"/>
        <v>36207</v>
      </c>
      <c r="X61" s="283">
        <f t="shared" si="5"/>
        <v>206</v>
      </c>
      <c r="Y61" s="283">
        <f t="shared" si="5"/>
        <v>2981</v>
      </c>
      <c r="Z61" s="283">
        <f t="shared" si="5"/>
        <v>1225</v>
      </c>
      <c r="AA61" s="283">
        <f t="shared" si="5"/>
        <v>5648</v>
      </c>
      <c r="AB61" s="283">
        <f t="shared" si="5"/>
        <v>3323</v>
      </c>
      <c r="AC61" s="283">
        <f t="shared" si="5"/>
        <v>7112</v>
      </c>
      <c r="AD61" s="283">
        <f t="shared" si="5"/>
        <v>279704</v>
      </c>
      <c r="AF61" s="143"/>
      <c r="AG61" s="143"/>
      <c r="AH61" s="143"/>
    </row>
    <row r="62" spans="1:34" customFormat="1" ht="12.75" customHeight="1" x14ac:dyDescent="0.25">
      <c r="A62" s="295"/>
      <c r="B62" s="311"/>
      <c r="C62" s="312"/>
      <c r="D62" s="312"/>
      <c r="E62" s="312"/>
      <c r="F62" s="312"/>
      <c r="G62" s="313"/>
      <c r="H62" s="307"/>
      <c r="I62" s="307"/>
      <c r="J62" s="307"/>
      <c r="K62" s="307"/>
      <c r="L62" s="307"/>
      <c r="M62" s="307"/>
      <c r="N62" s="307"/>
      <c r="O62" s="307"/>
      <c r="P62" s="19"/>
      <c r="Q62" s="19"/>
      <c r="R62" s="19"/>
      <c r="S62" s="19"/>
      <c r="T62" s="19"/>
      <c r="U62" s="19"/>
      <c r="V62" s="19"/>
      <c r="W62" s="19"/>
      <c r="X62" s="19"/>
      <c r="Y62" s="19"/>
      <c r="Z62" s="19"/>
      <c r="AA62" s="19"/>
      <c r="AB62" s="19"/>
      <c r="AC62" s="19"/>
      <c r="AD62" s="19"/>
    </row>
    <row r="63" spans="1:34" customFormat="1" ht="26.25" customHeight="1" x14ac:dyDescent="0.25">
      <c r="A63" s="295">
        <v>5</v>
      </c>
      <c r="B63" s="637" t="s">
        <v>979</v>
      </c>
      <c r="C63" s="638"/>
      <c r="D63" s="312"/>
      <c r="E63" s="312"/>
      <c r="F63" s="312"/>
      <c r="G63" s="313"/>
      <c r="H63" s="6">
        <v>0</v>
      </c>
      <c r="I63" s="6">
        <v>0</v>
      </c>
      <c r="J63" s="6">
        <v>0</v>
      </c>
      <c r="K63" s="6">
        <v>0</v>
      </c>
      <c r="L63" s="6">
        <v>0</v>
      </c>
      <c r="M63" s="6">
        <v>0</v>
      </c>
      <c r="N63" s="6">
        <v>0</v>
      </c>
      <c r="O63" s="6">
        <v>0</v>
      </c>
      <c r="P63" s="303">
        <f>SUM(H63:O63)</f>
        <v>0</v>
      </c>
      <c r="Q63" s="6">
        <v>0</v>
      </c>
      <c r="R63" s="6">
        <v>0</v>
      </c>
      <c r="S63" s="6">
        <v>0</v>
      </c>
      <c r="T63" s="6">
        <v>0</v>
      </c>
      <c r="U63" s="6">
        <v>0</v>
      </c>
      <c r="V63" s="6">
        <v>0</v>
      </c>
      <c r="W63" s="6">
        <v>0</v>
      </c>
      <c r="X63" s="6">
        <v>0</v>
      </c>
      <c r="Y63" s="6">
        <v>0</v>
      </c>
      <c r="Z63" s="6">
        <v>0</v>
      </c>
      <c r="AA63" s="6">
        <v>0</v>
      </c>
      <c r="AB63" s="6">
        <v>0</v>
      </c>
      <c r="AC63" s="6">
        <v>0</v>
      </c>
      <c r="AD63" s="303">
        <f>SUM(P63:AC63)</f>
        <v>0</v>
      </c>
    </row>
    <row r="65" spans="2:7" x14ac:dyDescent="0.2">
      <c r="B65" s="314"/>
      <c r="C65" s="314"/>
      <c r="D65" s="314"/>
      <c r="E65" s="314"/>
      <c r="F65" s="314"/>
      <c r="G65" s="314"/>
    </row>
  </sheetData>
  <sheetProtection algorithmName="SHA-512" hashValue="24Gk8LLTkY/A3abp31j2QiW0pCOFmfjWrJIRHUI0Mo7PYoUErGcarKyKg1OFMyMSpC2P0gltsD8y545McR8oFQ==" saltValue="FaepXezM5j/1o+BwNJNEzg==" spinCount="100000" sheet="1" objects="1" scenarios="1"/>
  <mergeCells count="3">
    <mergeCell ref="H1:P1"/>
    <mergeCell ref="B63:C63"/>
    <mergeCell ref="B1:C1"/>
  </mergeCells>
  <dataValidations xWindow="1514" yWindow="908" count="8">
    <dataValidation type="whole" operator="greaterThan" allowBlank="1" showInputMessage="1" showErrorMessage="1" errorTitle="Whole numbers only allowed" error="All monies should be independently rounded to the nearest £1,000." sqref="H6:O50">
      <formula1>-99999999</formula1>
    </dataValidation>
    <dataValidation type="whole" operator="greaterThan" allowBlank="1" showInputMessage="1" showErrorMessage="1" errorTitle="Whole numbers only allowed" error="All monies should be independently rounded to the nearest £1,000." sqref="H53:O53">
      <formula1>-99999999</formula1>
    </dataValidation>
    <dataValidation type="whole" operator="greaterThan" allowBlank="1" showInputMessage="1" showErrorMessage="1" errorTitle="Whole numbers only allowed" error="All monies should be independently rounded to the nearest £1,000." sqref="H56:O58">
      <formula1>-99999999</formula1>
    </dataValidation>
    <dataValidation type="whole" operator="greaterThan" allowBlank="1" showInputMessage="1" showErrorMessage="1" errorTitle="Whole numbers only allowed" error="All monies should be independently rounded to the nearest £1,000." sqref="Q6:AC50">
      <formula1>-99999999</formula1>
    </dataValidation>
    <dataValidation type="whole" operator="greaterThan" allowBlank="1" showInputMessage="1" showErrorMessage="1" errorTitle="Whole numbers only allowed" error="All monies should be independently rounded to the nearest £1,000." sqref="Q53:AC53">
      <formula1>-99999999</formula1>
    </dataValidation>
    <dataValidation type="whole" operator="greaterThan" allowBlank="1" showInputMessage="1" showErrorMessage="1" errorTitle="Whole numbers only allowed" error="All monies should be independently rounded to the nearest £1,000." sqref="Q56:AC58">
      <formula1>-99999999</formula1>
    </dataValidation>
    <dataValidation type="whole" operator="greaterThan" allowBlank="1" showInputMessage="1" showErrorMessage="1" errorTitle="Whole numbers only allowed" error="All monies should be independently rounded to the nearest £1,000." sqref="H63:O63">
      <formula1>-99999999</formula1>
    </dataValidation>
    <dataValidation type="whole" operator="greaterThan" allowBlank="1" showInputMessage="1" showErrorMessage="1" errorTitle="Whole numbers only allowed" error="All monies should be independently rounded to the nearest £1,000." sqref="Q63:AC63">
      <formula1>-99999999</formula1>
    </dataValidation>
  </dataValidations>
  <printOptions headings="1"/>
  <pageMargins left="0.31496062992125984" right="0.31496062992125984" top="0.74803149606299213" bottom="0.74803149606299213" header="0.31496062992125984" footer="0.31496062992125984"/>
  <pageSetup paperSize="9" scale="49" orientation="landscape" r:id="rId1"/>
  <colBreaks count="1" manualBreakCount="1">
    <brk id="22" max="1048575" man="1"/>
    <brk id="22" max="16384" man="1"/>
  </colBreaks>
  <ignoredErrors>
    <ignoredError sqref="P6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tabSelected="1" zoomScale="60" zoomScaleNormal="60" workbookViewId="0">
      <pane xSplit="7" ySplit="4" topLeftCell="H41" activePane="bottomRight" state="frozenSplit"/>
      <selection pane="topRight"/>
      <selection pane="bottomLeft"/>
      <selection pane="bottomRight" activeCell="V52" sqref="V52"/>
    </sheetView>
  </sheetViews>
  <sheetFormatPr defaultColWidth="9.85546875" defaultRowHeight="12.75" x14ac:dyDescent="0.2"/>
  <cols>
    <col min="1" max="1" width="10" style="389" bestFit="1" customWidth="1"/>
    <col min="2" max="4" width="2" style="315" customWidth="1"/>
    <col min="5" max="5" width="70.28515625" style="315" customWidth="1"/>
    <col min="6" max="6" width="2.85546875" style="315" hidden="1" customWidth="1"/>
    <col min="7" max="7" width="0.5703125" style="315" customWidth="1"/>
    <col min="8" max="8" width="21.85546875" style="315" customWidth="1"/>
    <col min="9" max="9" width="23.28515625" style="315" customWidth="1"/>
    <col min="10" max="10" width="20.5703125" style="315" customWidth="1"/>
    <col min="11" max="11" width="15.85546875" style="315" bestFit="1" customWidth="1"/>
    <col min="12" max="12" width="21.85546875" style="315" customWidth="1"/>
    <col min="13" max="13" width="23.28515625" style="315" customWidth="1"/>
    <col min="14" max="14" width="20.5703125" style="315" customWidth="1"/>
    <col min="15" max="15" width="15.85546875" style="315" bestFit="1" customWidth="1"/>
    <col min="16" max="16" width="15.5703125" style="143" hidden="1" customWidth="1"/>
    <col min="17" max="17" width="30.85546875" style="143" hidden="1" customWidth="1"/>
    <col min="18" max="18" width="14.7109375" style="315" hidden="1" customWidth="1"/>
    <col min="19" max="19" width="43.5703125" style="315" customWidth="1"/>
    <col min="20" max="20" width="9.85546875" style="315" customWidth="1"/>
    <col min="21" max="16384" width="9.85546875" style="315"/>
  </cols>
  <sheetData>
    <row r="1" spans="1:19" customFormat="1" ht="76.900000000000006" customHeight="1" x14ac:dyDescent="0.25">
      <c r="A1" s="316" t="s">
        <v>980</v>
      </c>
      <c r="B1" s="643" t="s">
        <v>981</v>
      </c>
      <c r="C1" s="643"/>
      <c r="D1" s="643"/>
      <c r="E1" s="643"/>
      <c r="F1" s="643"/>
      <c r="G1" s="643"/>
      <c r="H1" s="644"/>
      <c r="I1" s="644"/>
      <c r="J1" s="644"/>
      <c r="K1" s="645"/>
      <c r="L1" s="646" t="s">
        <v>982</v>
      </c>
      <c r="M1" s="647"/>
      <c r="N1" s="647"/>
      <c r="O1" s="648"/>
      <c r="P1" s="146"/>
    </row>
    <row r="2" spans="1:19" customFormat="1" ht="55.5" customHeight="1" x14ac:dyDescent="0.25">
      <c r="A2" s="317"/>
      <c r="B2" s="318"/>
      <c r="C2" s="318"/>
      <c r="D2" s="318"/>
      <c r="E2" s="318"/>
      <c r="F2" s="318"/>
      <c r="G2" s="318"/>
      <c r="H2" s="649" t="s">
        <v>613</v>
      </c>
      <c r="I2" s="650"/>
      <c r="J2" s="650"/>
      <c r="K2" s="651"/>
      <c r="L2" s="649" t="s">
        <v>614</v>
      </c>
      <c r="M2" s="650"/>
      <c r="N2" s="650"/>
      <c r="O2" s="651"/>
      <c r="P2" s="146"/>
    </row>
    <row r="3" spans="1:19" customFormat="1" ht="32.65" customHeight="1" x14ac:dyDescent="0.25">
      <c r="A3" s="317"/>
      <c r="B3" s="318"/>
      <c r="C3" s="318"/>
      <c r="D3" s="318"/>
      <c r="E3" s="318"/>
      <c r="F3" s="318"/>
      <c r="G3" s="318"/>
      <c r="H3" s="640" t="s">
        <v>983</v>
      </c>
      <c r="I3" s="641"/>
      <c r="J3" s="641"/>
      <c r="K3" s="642"/>
      <c r="L3" s="640" t="s">
        <v>983</v>
      </c>
      <c r="M3" s="641"/>
      <c r="N3" s="641"/>
      <c r="O3" s="642"/>
      <c r="P3" s="146"/>
      <c r="Q3" s="143"/>
      <c r="R3" s="149"/>
      <c r="S3" s="150" t="s">
        <v>612</v>
      </c>
    </row>
    <row r="4" spans="1:19" customFormat="1" ht="60.95" customHeight="1" x14ac:dyDescent="0.25">
      <c r="A4" s="319"/>
      <c r="B4" s="320"/>
      <c r="C4" s="320"/>
      <c r="D4" s="320"/>
      <c r="E4" s="320"/>
      <c r="F4" s="320"/>
      <c r="G4" s="320"/>
      <c r="H4" s="321" t="s">
        <v>984</v>
      </c>
      <c r="I4" s="321" t="s">
        <v>985</v>
      </c>
      <c r="J4" s="321" t="s">
        <v>986</v>
      </c>
      <c r="K4" s="321" t="s">
        <v>987</v>
      </c>
      <c r="L4" s="321" t="s">
        <v>988</v>
      </c>
      <c r="M4" s="321" t="s">
        <v>989</v>
      </c>
      <c r="N4" s="321" t="s">
        <v>990</v>
      </c>
      <c r="O4" s="321" t="s">
        <v>991</v>
      </c>
      <c r="P4" s="322" t="s">
        <v>34</v>
      </c>
      <c r="Q4" s="149"/>
      <c r="R4" s="149"/>
      <c r="S4" s="156" t="s">
        <v>992</v>
      </c>
    </row>
    <row r="5" spans="1:19" customFormat="1" ht="12.75" customHeight="1" x14ac:dyDescent="0.25">
      <c r="A5" s="323">
        <v>1</v>
      </c>
      <c r="B5" s="324" t="s">
        <v>993</v>
      </c>
      <c r="C5" s="325"/>
      <c r="D5" s="325"/>
      <c r="E5" s="325"/>
      <c r="F5" s="325"/>
      <c r="G5" s="326"/>
      <c r="H5" s="327"/>
      <c r="I5" s="327"/>
      <c r="J5" s="327"/>
      <c r="K5" s="327"/>
      <c r="L5" s="327"/>
      <c r="M5" s="327"/>
      <c r="N5" s="327"/>
      <c r="O5" s="327"/>
      <c r="P5" s="176" t="s">
        <v>994</v>
      </c>
      <c r="Q5" s="146" t="s">
        <v>616</v>
      </c>
      <c r="R5" s="146" t="s">
        <v>617</v>
      </c>
      <c r="S5" s="161" t="s">
        <v>618</v>
      </c>
    </row>
    <row r="6" spans="1:19" customFormat="1" ht="12.75" customHeight="1" x14ac:dyDescent="0.25">
      <c r="A6" s="323" t="s">
        <v>621</v>
      </c>
      <c r="B6" s="328"/>
      <c r="C6" s="329"/>
      <c r="D6" s="330" t="s">
        <v>995</v>
      </c>
      <c r="E6" s="331"/>
      <c r="F6" s="331"/>
      <c r="G6" s="332"/>
      <c r="H6" s="333"/>
      <c r="I6" s="333"/>
      <c r="J6" s="333"/>
      <c r="K6" s="333"/>
      <c r="L6" s="333"/>
      <c r="M6" s="333"/>
      <c r="N6" s="333"/>
      <c r="O6" s="333"/>
      <c r="P6" s="146">
        <f>COUNTIF(P7:P69,"=ZERO")</f>
        <v>5</v>
      </c>
      <c r="Q6" s="168" t="s">
        <v>34</v>
      </c>
      <c r="R6" s="168" t="s">
        <v>34</v>
      </c>
      <c r="S6" s="146" t="s">
        <v>620</v>
      </c>
    </row>
    <row r="7" spans="1:19" customFormat="1" ht="12.75" customHeight="1" x14ac:dyDescent="0.25">
      <c r="A7" s="323" t="s">
        <v>996</v>
      </c>
      <c r="B7" s="334"/>
      <c r="C7" s="335"/>
      <c r="D7" s="335"/>
      <c r="E7" s="336" t="s">
        <v>997</v>
      </c>
      <c r="F7" s="335"/>
      <c r="G7" s="337"/>
      <c r="H7" s="338">
        <v>13492</v>
      </c>
      <c r="I7" s="338">
        <v>8</v>
      </c>
      <c r="J7" s="338">
        <v>3516</v>
      </c>
      <c r="K7" s="43">
        <f t="shared" ref="K7:K13" si="0">SUM(H7:J7)</f>
        <v>17016</v>
      </c>
      <c r="L7" s="338">
        <v>14002</v>
      </c>
      <c r="M7" s="338">
        <v>122</v>
      </c>
      <c r="N7" s="338">
        <v>3347</v>
      </c>
      <c r="O7" s="43">
        <f t="shared" ref="O7:O13" si="1">SUM(L7:N7)</f>
        <v>17471</v>
      </c>
      <c r="P7" s="176"/>
      <c r="Q7" s="198">
        <f t="shared" ref="Q7:Q14" si="2">K7-O7</f>
        <v>-455</v>
      </c>
      <c r="R7" s="176">
        <f t="shared" ref="R7:R14" si="3">IF(AND(OR(K7=0,O7&lt;&gt;0),OR(O7=0,K7&lt;&gt;0)),IF((K7+O7+Q7&lt;&gt;0),IF(AND(OR(K7&gt;0,O7&lt;0),OR(O7&gt;0,K7&lt;0)),ABS(Q7/MIN(ABS(O7),ABS(K7))),10),"-"),10)</f>
        <v>2.6739539257169723E-2</v>
      </c>
      <c r="S7" s="177"/>
    </row>
    <row r="8" spans="1:19" customFormat="1" ht="12.75" customHeight="1" x14ac:dyDescent="0.25">
      <c r="A8" s="323" t="s">
        <v>998</v>
      </c>
      <c r="B8" s="334"/>
      <c r="C8" s="335"/>
      <c r="D8" s="335"/>
      <c r="E8" s="336" t="s">
        <v>999</v>
      </c>
      <c r="F8" s="335"/>
      <c r="G8" s="337"/>
      <c r="H8" s="338">
        <v>0</v>
      </c>
      <c r="I8" s="338">
        <v>0</v>
      </c>
      <c r="J8" s="338">
        <v>0</v>
      </c>
      <c r="K8" s="43">
        <f t="shared" si="0"/>
        <v>0</v>
      </c>
      <c r="L8" s="338">
        <v>0</v>
      </c>
      <c r="M8" s="338">
        <v>0</v>
      </c>
      <c r="N8" s="338">
        <v>0</v>
      </c>
      <c r="O8" s="43">
        <f t="shared" si="1"/>
        <v>0</v>
      </c>
      <c r="P8" s="176"/>
      <c r="Q8" s="198">
        <f t="shared" si="2"/>
        <v>0</v>
      </c>
      <c r="R8" s="176" t="str">
        <f t="shared" si="3"/>
        <v>-</v>
      </c>
      <c r="S8" s="177"/>
    </row>
    <row r="9" spans="1:19" customFormat="1" ht="12.75" customHeight="1" x14ac:dyDescent="0.25">
      <c r="A9" s="323" t="s">
        <v>1000</v>
      </c>
      <c r="B9" s="334"/>
      <c r="C9" s="335"/>
      <c r="D9" s="335"/>
      <c r="E9" s="336" t="s">
        <v>1001</v>
      </c>
      <c r="F9" s="335"/>
      <c r="G9" s="337"/>
      <c r="H9" s="338">
        <v>1481</v>
      </c>
      <c r="I9" s="338">
        <v>33</v>
      </c>
      <c r="J9" s="338">
        <v>6543</v>
      </c>
      <c r="K9" s="43">
        <f t="shared" si="0"/>
        <v>8057</v>
      </c>
      <c r="L9" s="338">
        <v>535</v>
      </c>
      <c r="M9" s="338">
        <v>0</v>
      </c>
      <c r="N9" s="338">
        <v>6882</v>
      </c>
      <c r="O9" s="43">
        <f t="shared" si="1"/>
        <v>7417</v>
      </c>
      <c r="P9" s="176"/>
      <c r="Q9" s="198">
        <f t="shared" si="2"/>
        <v>640</v>
      </c>
      <c r="R9" s="176">
        <f t="shared" si="3"/>
        <v>8.628825670756371E-2</v>
      </c>
      <c r="S9" s="177"/>
    </row>
    <row r="10" spans="1:19" customFormat="1" ht="12.75" customHeight="1" x14ac:dyDescent="0.25">
      <c r="A10" s="323" t="s">
        <v>1002</v>
      </c>
      <c r="B10" s="334"/>
      <c r="C10" s="335"/>
      <c r="D10" s="335"/>
      <c r="E10" s="336" t="s">
        <v>1003</v>
      </c>
      <c r="F10" s="335"/>
      <c r="G10" s="337"/>
      <c r="H10" s="338">
        <v>0</v>
      </c>
      <c r="I10" s="338">
        <v>58</v>
      </c>
      <c r="J10" s="338">
        <v>4938</v>
      </c>
      <c r="K10" s="43">
        <f t="shared" si="0"/>
        <v>4996</v>
      </c>
      <c r="L10" s="338">
        <v>0</v>
      </c>
      <c r="M10" s="338">
        <v>19</v>
      </c>
      <c r="N10" s="338">
        <v>4999</v>
      </c>
      <c r="O10" s="43">
        <f t="shared" si="1"/>
        <v>5018</v>
      </c>
      <c r="P10" s="176"/>
      <c r="Q10" s="198">
        <f t="shared" si="2"/>
        <v>-22</v>
      </c>
      <c r="R10" s="176">
        <f t="shared" si="3"/>
        <v>4.4035228182546038E-3</v>
      </c>
      <c r="S10" s="177"/>
    </row>
    <row r="11" spans="1:19" customFormat="1" ht="12.75" customHeight="1" x14ac:dyDescent="0.25">
      <c r="A11" s="323" t="s">
        <v>1004</v>
      </c>
      <c r="B11" s="334"/>
      <c r="C11" s="335"/>
      <c r="D11" s="335"/>
      <c r="E11" s="336" t="s">
        <v>1005</v>
      </c>
      <c r="F11" s="335"/>
      <c r="G11" s="337"/>
      <c r="H11" s="338">
        <v>187</v>
      </c>
      <c r="I11" s="338">
        <v>0</v>
      </c>
      <c r="J11" s="338">
        <v>30</v>
      </c>
      <c r="K11" s="43">
        <f t="shared" si="0"/>
        <v>217</v>
      </c>
      <c r="L11" s="338">
        <v>81</v>
      </c>
      <c r="M11" s="338">
        <v>3</v>
      </c>
      <c r="N11" s="338">
        <v>212</v>
      </c>
      <c r="O11" s="43">
        <f t="shared" si="1"/>
        <v>296</v>
      </c>
      <c r="P11" s="176"/>
      <c r="Q11" s="198">
        <f t="shared" si="2"/>
        <v>-79</v>
      </c>
      <c r="R11" s="176">
        <f t="shared" si="3"/>
        <v>0.36405529953917048</v>
      </c>
      <c r="S11" s="177"/>
    </row>
    <row r="12" spans="1:19" customFormat="1" ht="12.75" customHeight="1" x14ac:dyDescent="0.25">
      <c r="A12" s="323" t="s">
        <v>1006</v>
      </c>
      <c r="B12" s="334"/>
      <c r="C12" s="335"/>
      <c r="D12" s="335"/>
      <c r="E12" s="336" t="s">
        <v>1007</v>
      </c>
      <c r="F12" s="335"/>
      <c r="G12" s="337"/>
      <c r="H12" s="338">
        <v>120</v>
      </c>
      <c r="I12" s="338">
        <v>0</v>
      </c>
      <c r="J12" s="338">
        <v>8660</v>
      </c>
      <c r="K12" s="43">
        <f t="shared" si="0"/>
        <v>8780</v>
      </c>
      <c r="L12" s="338">
        <v>31</v>
      </c>
      <c r="M12" s="338">
        <v>7</v>
      </c>
      <c r="N12" s="338">
        <v>6918</v>
      </c>
      <c r="O12" s="43">
        <f t="shared" si="1"/>
        <v>6956</v>
      </c>
      <c r="P12" s="176"/>
      <c r="Q12" s="198">
        <f t="shared" si="2"/>
        <v>1824</v>
      </c>
      <c r="R12" s="176">
        <f t="shared" si="3"/>
        <v>0.26221966647498562</v>
      </c>
      <c r="S12" s="177"/>
    </row>
    <row r="13" spans="1:19" customFormat="1" ht="12.75" customHeight="1" x14ac:dyDescent="0.25">
      <c r="A13" s="323" t="s">
        <v>1008</v>
      </c>
      <c r="B13" s="334"/>
      <c r="C13" s="335"/>
      <c r="D13" s="335"/>
      <c r="E13" s="336" t="s">
        <v>1009</v>
      </c>
      <c r="F13" s="335"/>
      <c r="G13" s="337"/>
      <c r="H13" s="338">
        <v>0</v>
      </c>
      <c r="I13" s="338">
        <v>19</v>
      </c>
      <c r="J13" s="338">
        <v>736</v>
      </c>
      <c r="K13" s="43">
        <f t="shared" si="0"/>
        <v>755</v>
      </c>
      <c r="L13" s="338">
        <v>0</v>
      </c>
      <c r="M13" s="338">
        <v>9</v>
      </c>
      <c r="N13" s="338">
        <v>716</v>
      </c>
      <c r="O13" s="43">
        <f t="shared" si="1"/>
        <v>725</v>
      </c>
      <c r="P13" s="176"/>
      <c r="Q13" s="198">
        <f t="shared" si="2"/>
        <v>30</v>
      </c>
      <c r="R13" s="176">
        <f t="shared" si="3"/>
        <v>4.1379310344827586E-2</v>
      </c>
      <c r="S13" s="177"/>
    </row>
    <row r="14" spans="1:19" customFormat="1" ht="12.75" customHeight="1" x14ac:dyDescent="0.25">
      <c r="A14" s="323" t="s">
        <v>1010</v>
      </c>
      <c r="B14" s="339"/>
      <c r="C14" s="340"/>
      <c r="D14" s="340" t="s">
        <v>1011</v>
      </c>
      <c r="E14" s="341"/>
      <c r="F14" s="341"/>
      <c r="G14" s="342"/>
      <c r="H14" s="343">
        <f t="shared" ref="H14:O14" si="4">SUM(H7:H13)</f>
        <v>15280</v>
      </c>
      <c r="I14" s="343">
        <f t="shared" si="4"/>
        <v>118</v>
      </c>
      <c r="J14" s="343">
        <f t="shared" si="4"/>
        <v>24423</v>
      </c>
      <c r="K14" s="343">
        <f t="shared" si="4"/>
        <v>39821</v>
      </c>
      <c r="L14" s="343">
        <f t="shared" si="4"/>
        <v>14649</v>
      </c>
      <c r="M14" s="343">
        <f t="shared" si="4"/>
        <v>160</v>
      </c>
      <c r="N14" s="343">
        <f t="shared" si="4"/>
        <v>23074</v>
      </c>
      <c r="O14" s="343">
        <f t="shared" si="4"/>
        <v>37883</v>
      </c>
      <c r="P14" s="176"/>
      <c r="Q14" s="198">
        <f t="shared" si="2"/>
        <v>1938</v>
      </c>
      <c r="R14" s="176">
        <f t="shared" si="3"/>
        <v>5.1157511284745133E-2</v>
      </c>
      <c r="S14" s="177"/>
    </row>
    <row r="15" spans="1:19" customFormat="1" ht="12.75" customHeight="1" x14ac:dyDescent="0.25">
      <c r="A15" s="323" t="s">
        <v>623</v>
      </c>
      <c r="B15" s="328"/>
      <c r="C15" s="329"/>
      <c r="D15" s="330" t="s">
        <v>1012</v>
      </c>
      <c r="E15" s="331"/>
      <c r="F15" s="331"/>
      <c r="G15" s="332"/>
      <c r="H15" s="344"/>
      <c r="I15" s="344"/>
      <c r="J15" s="344"/>
      <c r="K15" s="344"/>
      <c r="L15" s="344"/>
      <c r="M15" s="344"/>
      <c r="N15" s="344"/>
      <c r="O15" s="344"/>
      <c r="P15" s="176"/>
    </row>
    <row r="16" spans="1:19" customFormat="1" ht="12.75" customHeight="1" x14ac:dyDescent="0.25">
      <c r="A16" s="323" t="s">
        <v>996</v>
      </c>
      <c r="B16" s="334"/>
      <c r="C16" s="335"/>
      <c r="D16" s="335"/>
      <c r="E16" s="336" t="s">
        <v>997</v>
      </c>
      <c r="F16" s="335"/>
      <c r="G16" s="337"/>
      <c r="H16" s="338">
        <v>50131</v>
      </c>
      <c r="I16" s="338">
        <v>1044</v>
      </c>
      <c r="J16" s="338">
        <v>10161</v>
      </c>
      <c r="K16" s="43">
        <f t="shared" ref="K16:K22" si="5">SUM(H16:J16)</f>
        <v>61336</v>
      </c>
      <c r="L16" s="338">
        <v>46420</v>
      </c>
      <c r="M16" s="338">
        <v>696</v>
      </c>
      <c r="N16" s="338">
        <v>8241</v>
      </c>
      <c r="O16" s="43">
        <f t="shared" ref="O16:O22" si="6">SUM(L16:N16)</f>
        <v>55357</v>
      </c>
      <c r="P16" s="176"/>
      <c r="Q16" s="198">
        <f t="shared" ref="Q16:Q23" si="7">K16-O16</f>
        <v>5979</v>
      </c>
      <c r="R16" s="176">
        <f t="shared" ref="R16:R23" si="8">IF(AND(OR(K16=0,O16&lt;&gt;0),OR(O16=0,K16&lt;&gt;0)),IF((K16+O16+Q16&lt;&gt;0),IF(AND(OR(K16&gt;0,O16&lt;0),OR(O16&gt;0,K16&lt;0)),ABS(Q16/MIN(ABS(O16),ABS(K16))),10),"-"),10)</f>
        <v>0.10800802066585978</v>
      </c>
      <c r="S16" s="177"/>
    </row>
    <row r="17" spans="1:19" customFormat="1" ht="12.75" customHeight="1" x14ac:dyDescent="0.25">
      <c r="A17" s="323" t="s">
        <v>998</v>
      </c>
      <c r="B17" s="334"/>
      <c r="C17" s="335"/>
      <c r="D17" s="335"/>
      <c r="E17" s="336" t="s">
        <v>999</v>
      </c>
      <c r="F17" s="335"/>
      <c r="G17" s="337"/>
      <c r="H17" s="338">
        <v>0</v>
      </c>
      <c r="I17" s="338">
        <v>0</v>
      </c>
      <c r="J17" s="338">
        <v>0</v>
      </c>
      <c r="K17" s="43">
        <f t="shared" si="5"/>
        <v>0</v>
      </c>
      <c r="L17" s="338">
        <v>0</v>
      </c>
      <c r="M17" s="338">
        <v>0</v>
      </c>
      <c r="N17" s="338">
        <v>0</v>
      </c>
      <c r="O17" s="43">
        <f t="shared" si="6"/>
        <v>0</v>
      </c>
      <c r="P17" s="176"/>
      <c r="Q17" s="198">
        <f t="shared" si="7"/>
        <v>0</v>
      </c>
      <c r="R17" s="176" t="str">
        <f t="shared" si="8"/>
        <v>-</v>
      </c>
      <c r="S17" s="177"/>
    </row>
    <row r="18" spans="1:19" customFormat="1" ht="12.75" customHeight="1" x14ac:dyDescent="0.25">
      <c r="A18" s="323" t="s">
        <v>1000</v>
      </c>
      <c r="B18" s="334"/>
      <c r="C18" s="335"/>
      <c r="D18" s="335"/>
      <c r="E18" s="336" t="s">
        <v>1001</v>
      </c>
      <c r="F18" s="335"/>
      <c r="G18" s="337"/>
      <c r="H18" s="338">
        <v>0</v>
      </c>
      <c r="I18" s="338">
        <v>0</v>
      </c>
      <c r="J18" s="338">
        <v>0</v>
      </c>
      <c r="K18" s="43">
        <f t="shared" si="5"/>
        <v>0</v>
      </c>
      <c r="L18" s="338">
        <v>0</v>
      </c>
      <c r="M18" s="338">
        <v>0</v>
      </c>
      <c r="N18" s="338">
        <v>0</v>
      </c>
      <c r="O18" s="43">
        <f t="shared" si="6"/>
        <v>0</v>
      </c>
      <c r="P18" s="176"/>
      <c r="Q18" s="198">
        <f t="shared" si="7"/>
        <v>0</v>
      </c>
      <c r="R18" s="176" t="str">
        <f t="shared" si="8"/>
        <v>-</v>
      </c>
      <c r="S18" s="177"/>
    </row>
    <row r="19" spans="1:19" customFormat="1" ht="12.75" customHeight="1" x14ac:dyDescent="0.25">
      <c r="A19" s="323" t="s">
        <v>1002</v>
      </c>
      <c r="B19" s="334"/>
      <c r="C19" s="335"/>
      <c r="D19" s="335"/>
      <c r="E19" s="336" t="s">
        <v>1003</v>
      </c>
      <c r="F19" s="335"/>
      <c r="G19" s="337"/>
      <c r="H19" s="338">
        <v>0</v>
      </c>
      <c r="I19" s="338">
        <v>0</v>
      </c>
      <c r="J19" s="338">
        <v>0</v>
      </c>
      <c r="K19" s="43">
        <f t="shared" si="5"/>
        <v>0</v>
      </c>
      <c r="L19" s="338">
        <v>0</v>
      </c>
      <c r="M19" s="338">
        <v>0</v>
      </c>
      <c r="N19" s="338">
        <v>0</v>
      </c>
      <c r="O19" s="43">
        <f t="shared" si="6"/>
        <v>0</v>
      </c>
      <c r="P19" s="176"/>
      <c r="Q19" s="198">
        <f t="shared" si="7"/>
        <v>0</v>
      </c>
      <c r="R19" s="176" t="str">
        <f t="shared" si="8"/>
        <v>-</v>
      </c>
      <c r="S19" s="177"/>
    </row>
    <row r="20" spans="1:19" customFormat="1" ht="12.75" customHeight="1" x14ac:dyDescent="0.25">
      <c r="A20" s="323" t="s">
        <v>1004</v>
      </c>
      <c r="B20" s="334"/>
      <c r="C20" s="335"/>
      <c r="D20" s="335"/>
      <c r="E20" s="336" t="s">
        <v>1005</v>
      </c>
      <c r="F20" s="335"/>
      <c r="G20" s="337"/>
      <c r="H20" s="338">
        <v>0</v>
      </c>
      <c r="I20" s="338">
        <v>0</v>
      </c>
      <c r="J20" s="338">
        <v>0</v>
      </c>
      <c r="K20" s="43">
        <f t="shared" si="5"/>
        <v>0</v>
      </c>
      <c r="L20" s="338">
        <v>0</v>
      </c>
      <c r="M20" s="338">
        <v>0</v>
      </c>
      <c r="N20" s="338">
        <v>0</v>
      </c>
      <c r="O20" s="43">
        <f t="shared" si="6"/>
        <v>0</v>
      </c>
      <c r="P20" s="176"/>
      <c r="Q20" s="198">
        <f t="shared" si="7"/>
        <v>0</v>
      </c>
      <c r="R20" s="176" t="str">
        <f t="shared" si="8"/>
        <v>-</v>
      </c>
      <c r="S20" s="177"/>
    </row>
    <row r="21" spans="1:19" customFormat="1" ht="12.75" customHeight="1" x14ac:dyDescent="0.25">
      <c r="A21" s="323" t="s">
        <v>1006</v>
      </c>
      <c r="B21" s="334"/>
      <c r="C21" s="335"/>
      <c r="D21" s="335"/>
      <c r="E21" s="336" t="s">
        <v>1007</v>
      </c>
      <c r="F21" s="335"/>
      <c r="G21" s="337"/>
      <c r="H21" s="338">
        <v>0</v>
      </c>
      <c r="I21" s="338">
        <v>0</v>
      </c>
      <c r="J21" s="338">
        <v>0</v>
      </c>
      <c r="K21" s="43">
        <f t="shared" si="5"/>
        <v>0</v>
      </c>
      <c r="L21" s="338">
        <v>0</v>
      </c>
      <c r="M21" s="338">
        <v>0</v>
      </c>
      <c r="N21" s="338">
        <v>0</v>
      </c>
      <c r="O21" s="43">
        <f t="shared" si="6"/>
        <v>0</v>
      </c>
      <c r="P21" s="176"/>
      <c r="Q21" s="198">
        <f t="shared" si="7"/>
        <v>0</v>
      </c>
      <c r="R21" s="176" t="str">
        <f t="shared" si="8"/>
        <v>-</v>
      </c>
      <c r="S21" s="177"/>
    </row>
    <row r="22" spans="1:19" customFormat="1" ht="12.75" customHeight="1" x14ac:dyDescent="0.25">
      <c r="A22" s="323" t="s">
        <v>1008</v>
      </c>
      <c r="B22" s="334"/>
      <c r="C22" s="335"/>
      <c r="D22" s="335"/>
      <c r="E22" s="336" t="s">
        <v>1009</v>
      </c>
      <c r="F22" s="335"/>
      <c r="G22" s="337"/>
      <c r="H22" s="338">
        <v>0</v>
      </c>
      <c r="I22" s="338">
        <v>0</v>
      </c>
      <c r="J22" s="338">
        <v>0</v>
      </c>
      <c r="K22" s="43">
        <f t="shared" si="5"/>
        <v>0</v>
      </c>
      <c r="L22" s="338">
        <v>0</v>
      </c>
      <c r="M22" s="338">
        <v>0</v>
      </c>
      <c r="N22" s="338">
        <v>0</v>
      </c>
      <c r="O22" s="43">
        <f t="shared" si="6"/>
        <v>0</v>
      </c>
      <c r="P22" s="176"/>
      <c r="Q22" s="198">
        <f t="shared" si="7"/>
        <v>0</v>
      </c>
      <c r="R22" s="176" t="str">
        <f t="shared" si="8"/>
        <v>-</v>
      </c>
      <c r="S22" s="177"/>
    </row>
    <row r="23" spans="1:19" customFormat="1" ht="12.75" customHeight="1" x14ac:dyDescent="0.25">
      <c r="A23" s="323" t="s">
        <v>1010</v>
      </c>
      <c r="B23" s="339"/>
      <c r="C23" s="341"/>
      <c r="D23" s="340" t="s">
        <v>1013</v>
      </c>
      <c r="E23" s="341"/>
      <c r="F23" s="341"/>
      <c r="G23" s="342"/>
      <c r="H23" s="343">
        <f t="shared" ref="H23:O23" si="9">SUM(H16:H22)</f>
        <v>50131</v>
      </c>
      <c r="I23" s="343">
        <f t="shared" si="9"/>
        <v>1044</v>
      </c>
      <c r="J23" s="343">
        <f t="shared" si="9"/>
        <v>10161</v>
      </c>
      <c r="K23" s="343">
        <f t="shared" si="9"/>
        <v>61336</v>
      </c>
      <c r="L23" s="343">
        <f t="shared" si="9"/>
        <v>46420</v>
      </c>
      <c r="M23" s="343">
        <f t="shared" si="9"/>
        <v>696</v>
      </c>
      <c r="N23" s="343">
        <f t="shared" si="9"/>
        <v>8241</v>
      </c>
      <c r="O23" s="343">
        <f t="shared" si="9"/>
        <v>55357</v>
      </c>
      <c r="P23" s="176"/>
      <c r="Q23" s="198">
        <f t="shared" si="7"/>
        <v>5979</v>
      </c>
      <c r="R23" s="176">
        <f t="shared" si="8"/>
        <v>0.10800802066585978</v>
      </c>
      <c r="S23" s="177"/>
    </row>
    <row r="24" spans="1:19" customFormat="1" ht="12.75" customHeight="1" x14ac:dyDescent="0.25">
      <c r="A24" s="323" t="s">
        <v>625</v>
      </c>
      <c r="B24" s="328"/>
      <c r="C24" s="329"/>
      <c r="D24" s="330" t="s">
        <v>1014</v>
      </c>
      <c r="E24" s="331"/>
      <c r="F24" s="331"/>
      <c r="G24" s="332"/>
      <c r="H24" s="344"/>
      <c r="I24" s="344"/>
      <c r="J24" s="344"/>
      <c r="K24" s="344"/>
      <c r="L24" s="344"/>
      <c r="M24" s="344"/>
      <c r="N24" s="344"/>
      <c r="O24" s="344"/>
      <c r="P24" s="176"/>
      <c r="Q24" s="224"/>
    </row>
    <row r="25" spans="1:19" customFormat="1" ht="12.75" customHeight="1" x14ac:dyDescent="0.25">
      <c r="A25" s="323" t="s">
        <v>996</v>
      </c>
      <c r="B25" s="334"/>
      <c r="C25" s="335"/>
      <c r="D25" s="335"/>
      <c r="E25" s="336" t="s">
        <v>997</v>
      </c>
      <c r="F25" s="335"/>
      <c r="G25" s="337"/>
      <c r="H25" s="345">
        <f t="shared" ref="H25:J31" si="10">SUM(H7+H16)</f>
        <v>63623</v>
      </c>
      <c r="I25" s="345">
        <f t="shared" si="10"/>
        <v>1052</v>
      </c>
      <c r="J25" s="345">
        <f t="shared" si="10"/>
        <v>13677</v>
      </c>
      <c r="K25" s="346">
        <f t="shared" ref="K25:K31" si="11">SUM(H25:J25)</f>
        <v>78352</v>
      </c>
      <c r="L25" s="345">
        <f t="shared" ref="L25:N31" si="12">SUM(L7+L16)</f>
        <v>60422</v>
      </c>
      <c r="M25" s="345">
        <f t="shared" si="12"/>
        <v>818</v>
      </c>
      <c r="N25" s="345">
        <f t="shared" si="12"/>
        <v>11588</v>
      </c>
      <c r="O25" s="346">
        <f t="shared" ref="O25:O31" si="13">SUM(L25:N25)</f>
        <v>72828</v>
      </c>
      <c r="P25" s="347" t="str">
        <f t="shared" ref="P25:P31" si="14">IF(K25=0,"zero",RIGHT(K25,1))</f>
        <v>2</v>
      </c>
      <c r="Q25" s="198">
        <f t="shared" ref="Q25:Q32" si="15">K25-O25</f>
        <v>5524</v>
      </c>
      <c r="R25" s="176">
        <f t="shared" ref="R25:R32" si="16">IF(AND(OR(K25=0,O25&lt;&gt;0),OR(O25=0,K25&lt;&gt;0)),IF((K25+O25+Q25&lt;&gt;0),IF(AND(OR(K25&gt;0,O25&lt;0),OR(O25&gt;0,K25&lt;0)),ABS(Q25/MIN(ABS(O25),ABS(K25))),10),"-"),10)</f>
        <v>7.5849947822266159E-2</v>
      </c>
      <c r="S25" s="177"/>
    </row>
    <row r="26" spans="1:19" customFormat="1" ht="12.75" customHeight="1" x14ac:dyDescent="0.25">
      <c r="A26" s="323" t="s">
        <v>998</v>
      </c>
      <c r="B26" s="334"/>
      <c r="C26" s="335"/>
      <c r="D26" s="335"/>
      <c r="E26" s="336" t="s">
        <v>999</v>
      </c>
      <c r="F26" s="335"/>
      <c r="G26" s="337"/>
      <c r="H26" s="345">
        <f t="shared" si="10"/>
        <v>0</v>
      </c>
      <c r="I26" s="345">
        <f t="shared" si="10"/>
        <v>0</v>
      </c>
      <c r="J26" s="345">
        <f t="shared" si="10"/>
        <v>0</v>
      </c>
      <c r="K26" s="346">
        <f t="shared" si="11"/>
        <v>0</v>
      </c>
      <c r="L26" s="345">
        <f t="shared" si="12"/>
        <v>0</v>
      </c>
      <c r="M26" s="345">
        <f t="shared" si="12"/>
        <v>0</v>
      </c>
      <c r="N26" s="345">
        <f t="shared" si="12"/>
        <v>0</v>
      </c>
      <c r="O26" s="346">
        <f t="shared" si="13"/>
        <v>0</v>
      </c>
      <c r="P26" s="347" t="str">
        <f t="shared" si="14"/>
        <v>zero</v>
      </c>
      <c r="Q26" s="198">
        <f t="shared" si="15"/>
        <v>0</v>
      </c>
      <c r="R26" s="176" t="str">
        <f t="shared" si="16"/>
        <v>-</v>
      </c>
      <c r="S26" s="177"/>
    </row>
    <row r="27" spans="1:19" customFormat="1" ht="12.75" customHeight="1" x14ac:dyDescent="0.25">
      <c r="A27" s="323" t="s">
        <v>1000</v>
      </c>
      <c r="B27" s="334"/>
      <c r="C27" s="335"/>
      <c r="D27" s="335"/>
      <c r="E27" s="336" t="s">
        <v>1001</v>
      </c>
      <c r="F27" s="335"/>
      <c r="G27" s="337"/>
      <c r="H27" s="345">
        <f t="shared" si="10"/>
        <v>1481</v>
      </c>
      <c r="I27" s="345">
        <f t="shared" si="10"/>
        <v>33</v>
      </c>
      <c r="J27" s="345">
        <f t="shared" si="10"/>
        <v>6543</v>
      </c>
      <c r="K27" s="346">
        <f t="shared" si="11"/>
        <v>8057</v>
      </c>
      <c r="L27" s="345">
        <f t="shared" si="12"/>
        <v>535</v>
      </c>
      <c r="M27" s="345">
        <f t="shared" si="12"/>
        <v>0</v>
      </c>
      <c r="N27" s="345">
        <f t="shared" si="12"/>
        <v>6882</v>
      </c>
      <c r="O27" s="346">
        <f t="shared" si="13"/>
        <v>7417</v>
      </c>
      <c r="P27" s="347" t="str">
        <f t="shared" si="14"/>
        <v>7</v>
      </c>
      <c r="Q27" s="198">
        <f t="shared" si="15"/>
        <v>640</v>
      </c>
      <c r="R27" s="176">
        <f t="shared" si="16"/>
        <v>8.628825670756371E-2</v>
      </c>
      <c r="S27" s="177"/>
    </row>
    <row r="28" spans="1:19" customFormat="1" ht="12.75" customHeight="1" x14ac:dyDescent="0.25">
      <c r="A28" s="323" t="s">
        <v>1002</v>
      </c>
      <c r="B28" s="334"/>
      <c r="C28" s="335"/>
      <c r="D28" s="335"/>
      <c r="E28" s="336" t="s">
        <v>1003</v>
      </c>
      <c r="F28" s="335"/>
      <c r="G28" s="337"/>
      <c r="H28" s="345">
        <f t="shared" si="10"/>
        <v>0</v>
      </c>
      <c r="I28" s="345">
        <f t="shared" si="10"/>
        <v>58</v>
      </c>
      <c r="J28" s="345">
        <f t="shared" si="10"/>
        <v>4938</v>
      </c>
      <c r="K28" s="346">
        <f t="shared" si="11"/>
        <v>4996</v>
      </c>
      <c r="L28" s="345">
        <f t="shared" si="12"/>
        <v>0</v>
      </c>
      <c r="M28" s="345">
        <f t="shared" si="12"/>
        <v>19</v>
      </c>
      <c r="N28" s="345">
        <f t="shared" si="12"/>
        <v>4999</v>
      </c>
      <c r="O28" s="346">
        <f t="shared" si="13"/>
        <v>5018</v>
      </c>
      <c r="P28" s="347" t="str">
        <f t="shared" si="14"/>
        <v>6</v>
      </c>
      <c r="Q28" s="198">
        <f t="shared" si="15"/>
        <v>-22</v>
      </c>
      <c r="R28" s="176">
        <f t="shared" si="16"/>
        <v>4.4035228182546038E-3</v>
      </c>
      <c r="S28" s="177"/>
    </row>
    <row r="29" spans="1:19" customFormat="1" ht="12.75" customHeight="1" x14ac:dyDescent="0.25">
      <c r="A29" s="323" t="s">
        <v>1004</v>
      </c>
      <c r="B29" s="334"/>
      <c r="C29" s="335"/>
      <c r="D29" s="335"/>
      <c r="E29" s="336" t="s">
        <v>1005</v>
      </c>
      <c r="F29" s="335"/>
      <c r="G29" s="337"/>
      <c r="H29" s="345">
        <f t="shared" si="10"/>
        <v>187</v>
      </c>
      <c r="I29" s="345">
        <f t="shared" si="10"/>
        <v>0</v>
      </c>
      <c r="J29" s="345">
        <f t="shared" si="10"/>
        <v>30</v>
      </c>
      <c r="K29" s="346">
        <f t="shared" si="11"/>
        <v>217</v>
      </c>
      <c r="L29" s="345">
        <f t="shared" si="12"/>
        <v>81</v>
      </c>
      <c r="M29" s="345">
        <f t="shared" si="12"/>
        <v>3</v>
      </c>
      <c r="N29" s="345">
        <f t="shared" si="12"/>
        <v>212</v>
      </c>
      <c r="O29" s="346">
        <f t="shared" si="13"/>
        <v>296</v>
      </c>
      <c r="P29" s="347" t="str">
        <f t="shared" si="14"/>
        <v>7</v>
      </c>
      <c r="Q29" s="198">
        <f t="shared" si="15"/>
        <v>-79</v>
      </c>
      <c r="R29" s="176">
        <f t="shared" si="16"/>
        <v>0.36405529953917048</v>
      </c>
      <c r="S29" s="177"/>
    </row>
    <row r="30" spans="1:19" customFormat="1" ht="12.75" customHeight="1" x14ac:dyDescent="0.25">
      <c r="A30" s="323" t="s">
        <v>1006</v>
      </c>
      <c r="B30" s="334"/>
      <c r="C30" s="335"/>
      <c r="D30" s="335"/>
      <c r="E30" s="336" t="s">
        <v>1007</v>
      </c>
      <c r="F30" s="335"/>
      <c r="G30" s="337"/>
      <c r="H30" s="345">
        <f t="shared" si="10"/>
        <v>120</v>
      </c>
      <c r="I30" s="345">
        <f t="shared" si="10"/>
        <v>0</v>
      </c>
      <c r="J30" s="345">
        <f t="shared" si="10"/>
        <v>8660</v>
      </c>
      <c r="K30" s="346">
        <f t="shared" si="11"/>
        <v>8780</v>
      </c>
      <c r="L30" s="345">
        <f t="shared" si="12"/>
        <v>31</v>
      </c>
      <c r="M30" s="345">
        <f t="shared" si="12"/>
        <v>7</v>
      </c>
      <c r="N30" s="345">
        <f t="shared" si="12"/>
        <v>6918</v>
      </c>
      <c r="O30" s="346">
        <f t="shared" si="13"/>
        <v>6956</v>
      </c>
      <c r="P30" s="347" t="str">
        <f t="shared" si="14"/>
        <v>0</v>
      </c>
      <c r="Q30" s="198">
        <f t="shared" si="15"/>
        <v>1824</v>
      </c>
      <c r="R30" s="176">
        <f t="shared" si="16"/>
        <v>0.26221966647498562</v>
      </c>
      <c r="S30" s="177"/>
    </row>
    <row r="31" spans="1:19" customFormat="1" ht="12.75" customHeight="1" x14ac:dyDescent="0.25">
      <c r="A31" s="323" t="s">
        <v>1008</v>
      </c>
      <c r="B31" s="334"/>
      <c r="C31" s="335"/>
      <c r="D31" s="335"/>
      <c r="E31" s="336" t="s">
        <v>1009</v>
      </c>
      <c r="F31" s="335"/>
      <c r="G31" s="337"/>
      <c r="H31" s="345">
        <f t="shared" si="10"/>
        <v>0</v>
      </c>
      <c r="I31" s="345">
        <f t="shared" si="10"/>
        <v>19</v>
      </c>
      <c r="J31" s="345">
        <f t="shared" si="10"/>
        <v>736</v>
      </c>
      <c r="K31" s="346">
        <f t="shared" si="11"/>
        <v>755</v>
      </c>
      <c r="L31" s="345">
        <f t="shared" si="12"/>
        <v>0</v>
      </c>
      <c r="M31" s="345">
        <f t="shared" si="12"/>
        <v>9</v>
      </c>
      <c r="N31" s="345">
        <f t="shared" si="12"/>
        <v>716</v>
      </c>
      <c r="O31" s="346">
        <f t="shared" si="13"/>
        <v>725</v>
      </c>
      <c r="P31" s="347" t="str">
        <f t="shared" si="14"/>
        <v>5</v>
      </c>
      <c r="Q31" s="198">
        <f t="shared" si="15"/>
        <v>30</v>
      </c>
      <c r="R31" s="176">
        <f t="shared" si="16"/>
        <v>4.1379310344827586E-2</v>
      </c>
      <c r="S31" s="177"/>
    </row>
    <row r="32" spans="1:19" customFormat="1" ht="12.75" customHeight="1" x14ac:dyDescent="0.25">
      <c r="A32" s="323" t="s">
        <v>1010</v>
      </c>
      <c r="B32" s="339"/>
      <c r="C32" s="341"/>
      <c r="D32" s="340" t="s">
        <v>1015</v>
      </c>
      <c r="E32" s="341"/>
      <c r="F32" s="341"/>
      <c r="G32" s="342"/>
      <c r="H32" s="348">
        <f t="shared" ref="H32:O32" si="17">SUM(H25:H31)</f>
        <v>65411</v>
      </c>
      <c r="I32" s="348">
        <f t="shared" si="17"/>
        <v>1162</v>
      </c>
      <c r="J32" s="348">
        <f t="shared" si="17"/>
        <v>34584</v>
      </c>
      <c r="K32" s="348">
        <f t="shared" si="17"/>
        <v>101157</v>
      </c>
      <c r="L32" s="348">
        <f t="shared" si="17"/>
        <v>61069</v>
      </c>
      <c r="M32" s="348">
        <f t="shared" si="17"/>
        <v>856</v>
      </c>
      <c r="N32" s="348">
        <f t="shared" si="17"/>
        <v>31315</v>
      </c>
      <c r="O32" s="348">
        <f t="shared" si="17"/>
        <v>93240</v>
      </c>
      <c r="P32" s="176"/>
      <c r="Q32" s="198">
        <f t="shared" si="15"/>
        <v>7917</v>
      </c>
      <c r="R32" s="176">
        <f t="shared" si="16"/>
        <v>8.4909909909909903E-2</v>
      </c>
      <c r="S32" s="177"/>
    </row>
    <row r="33" spans="1:19" customFormat="1" ht="12.75" customHeight="1" x14ac:dyDescent="0.25">
      <c r="A33" s="323"/>
      <c r="B33" s="7"/>
      <c r="C33" s="349"/>
      <c r="D33" s="350"/>
      <c r="E33" s="351"/>
      <c r="F33" s="351"/>
      <c r="G33" s="352"/>
      <c r="H33" s="33"/>
      <c r="I33" s="33"/>
      <c r="J33" s="33"/>
      <c r="K33" s="33"/>
      <c r="L33" s="33"/>
      <c r="M33" s="33"/>
      <c r="N33" s="33"/>
      <c r="O33" s="33"/>
      <c r="P33" s="176"/>
    </row>
    <row r="34" spans="1:19" customFormat="1" ht="12.75" customHeight="1" x14ac:dyDescent="0.25">
      <c r="A34" s="323" t="s">
        <v>627</v>
      </c>
      <c r="B34" s="353"/>
      <c r="C34" s="354"/>
      <c r="D34" s="355" t="s">
        <v>1016</v>
      </c>
      <c r="E34" s="354"/>
      <c r="F34" s="354"/>
      <c r="G34" s="356"/>
      <c r="H34" s="357"/>
      <c r="I34" s="357"/>
      <c r="J34" s="357"/>
      <c r="K34" s="357"/>
      <c r="L34" s="357"/>
      <c r="M34" s="357"/>
      <c r="N34" s="357"/>
      <c r="O34" s="357"/>
      <c r="P34" s="176"/>
    </row>
    <row r="35" spans="1:19" customFormat="1" ht="12.75" customHeight="1" x14ac:dyDescent="0.25">
      <c r="A35" s="323" t="s">
        <v>996</v>
      </c>
      <c r="B35" s="334"/>
      <c r="C35" s="335"/>
      <c r="D35" s="335"/>
      <c r="E35" s="336" t="s">
        <v>997</v>
      </c>
      <c r="F35" s="335"/>
      <c r="G35" s="337"/>
      <c r="H35" s="358">
        <v>3996</v>
      </c>
      <c r="I35" s="358">
        <v>8</v>
      </c>
      <c r="J35" s="358">
        <v>557</v>
      </c>
      <c r="K35" s="359">
        <f t="shared" ref="K35:K41" si="18">SUM(H35:J35)</f>
        <v>4561</v>
      </c>
      <c r="L35" s="358">
        <v>3989</v>
      </c>
      <c r="M35" s="358">
        <v>16</v>
      </c>
      <c r="N35" s="358">
        <v>465</v>
      </c>
      <c r="O35" s="359">
        <f t="shared" ref="O35:O41" si="19">SUM(L35:N35)</f>
        <v>4470</v>
      </c>
      <c r="P35" s="347" t="str">
        <f t="shared" ref="P35:P41" si="20">IF(K35=0,"zero",RIGHT(K35,1))</f>
        <v>1</v>
      </c>
      <c r="Q35" s="198">
        <f t="shared" ref="Q35:Q42" si="21">K35-O35</f>
        <v>91</v>
      </c>
      <c r="R35" s="176">
        <f t="shared" ref="R35:R42" si="22">IF(AND(OR(K35=0,O35&lt;&gt;0),OR(O35=0,K35&lt;&gt;0)),IF((K35+O35+Q35&lt;&gt;0),IF(AND(OR(K35&gt;0,O35&lt;0),OR(O35&gt;0,K35&lt;0)),ABS(Q35/MIN(ABS(O35),ABS(K35))),10),"-"),10)</f>
        <v>2.0357941834451901E-2</v>
      </c>
      <c r="S35" s="177"/>
    </row>
    <row r="36" spans="1:19" customFormat="1" ht="12.75" customHeight="1" x14ac:dyDescent="0.25">
      <c r="A36" s="323" t="s">
        <v>998</v>
      </c>
      <c r="B36" s="334"/>
      <c r="C36" s="335"/>
      <c r="D36" s="335"/>
      <c r="E36" s="336" t="s">
        <v>999</v>
      </c>
      <c r="F36" s="335"/>
      <c r="G36" s="9"/>
      <c r="H36" s="358">
        <v>0</v>
      </c>
      <c r="I36" s="358">
        <v>0</v>
      </c>
      <c r="J36" s="358">
        <v>0</v>
      </c>
      <c r="K36" s="359">
        <f t="shared" si="18"/>
        <v>0</v>
      </c>
      <c r="L36" s="358">
        <v>0</v>
      </c>
      <c r="M36" s="358">
        <v>0</v>
      </c>
      <c r="N36" s="358">
        <v>0</v>
      </c>
      <c r="O36" s="359">
        <f t="shared" si="19"/>
        <v>0</v>
      </c>
      <c r="P36" s="347" t="str">
        <f t="shared" si="20"/>
        <v>zero</v>
      </c>
      <c r="Q36" s="198">
        <f t="shared" si="21"/>
        <v>0</v>
      </c>
      <c r="R36" s="176" t="str">
        <f t="shared" si="22"/>
        <v>-</v>
      </c>
      <c r="S36" s="177"/>
    </row>
    <row r="37" spans="1:19" customFormat="1" ht="12.75" customHeight="1" x14ac:dyDescent="0.25">
      <c r="A37" s="323" t="s">
        <v>1000</v>
      </c>
      <c r="B37" s="334"/>
      <c r="C37" s="335"/>
      <c r="D37" s="335"/>
      <c r="E37" s="336" t="s">
        <v>1001</v>
      </c>
      <c r="F37" s="335"/>
      <c r="G37" s="337"/>
      <c r="H37" s="358">
        <v>2</v>
      </c>
      <c r="I37" s="358">
        <v>0</v>
      </c>
      <c r="J37" s="358">
        <v>8659</v>
      </c>
      <c r="K37" s="359">
        <f t="shared" si="18"/>
        <v>8661</v>
      </c>
      <c r="L37" s="358">
        <v>155</v>
      </c>
      <c r="M37" s="358">
        <v>9</v>
      </c>
      <c r="N37" s="358">
        <v>6230</v>
      </c>
      <c r="O37" s="359">
        <f t="shared" si="19"/>
        <v>6394</v>
      </c>
      <c r="P37" s="347" t="str">
        <f t="shared" si="20"/>
        <v>1</v>
      </c>
      <c r="Q37" s="198">
        <f t="shared" si="21"/>
        <v>2267</v>
      </c>
      <c r="R37" s="176">
        <f t="shared" si="22"/>
        <v>0.35455114169533936</v>
      </c>
      <c r="S37" s="177"/>
    </row>
    <row r="38" spans="1:19" customFormat="1" ht="12.75" customHeight="1" x14ac:dyDescent="0.25">
      <c r="A38" s="323" t="s">
        <v>1002</v>
      </c>
      <c r="B38" s="334"/>
      <c r="C38" s="335"/>
      <c r="D38" s="335"/>
      <c r="E38" s="336" t="s">
        <v>1003</v>
      </c>
      <c r="F38" s="335"/>
      <c r="G38" s="337"/>
      <c r="H38" s="358">
        <v>0</v>
      </c>
      <c r="I38" s="358">
        <v>0</v>
      </c>
      <c r="J38" s="358">
        <v>3347</v>
      </c>
      <c r="K38" s="359">
        <f t="shared" si="18"/>
        <v>3347</v>
      </c>
      <c r="L38" s="358">
        <v>0</v>
      </c>
      <c r="M38" s="358">
        <v>4</v>
      </c>
      <c r="N38" s="358">
        <v>2993</v>
      </c>
      <c r="O38" s="359">
        <f t="shared" si="19"/>
        <v>2997</v>
      </c>
      <c r="P38" s="347" t="str">
        <f t="shared" si="20"/>
        <v>7</v>
      </c>
      <c r="Q38" s="198">
        <f t="shared" si="21"/>
        <v>350</v>
      </c>
      <c r="R38" s="176">
        <f t="shared" si="22"/>
        <v>0.11678345011678345</v>
      </c>
      <c r="S38" s="177"/>
    </row>
    <row r="39" spans="1:19" customFormat="1" ht="12.75" customHeight="1" x14ac:dyDescent="0.25">
      <c r="A39" s="323" t="s">
        <v>1004</v>
      </c>
      <c r="B39" s="334"/>
      <c r="C39" s="335"/>
      <c r="D39" s="335"/>
      <c r="E39" s="336" t="s">
        <v>1005</v>
      </c>
      <c r="F39" s="335"/>
      <c r="G39" s="9"/>
      <c r="H39" s="358">
        <v>29</v>
      </c>
      <c r="I39" s="358">
        <v>0</v>
      </c>
      <c r="J39" s="358">
        <v>21</v>
      </c>
      <c r="K39" s="359">
        <f t="shared" si="18"/>
        <v>50</v>
      </c>
      <c r="L39" s="358">
        <v>8</v>
      </c>
      <c r="M39" s="358">
        <v>0</v>
      </c>
      <c r="N39" s="358">
        <v>79</v>
      </c>
      <c r="O39" s="359">
        <f t="shared" si="19"/>
        <v>87</v>
      </c>
      <c r="P39" s="347" t="str">
        <f t="shared" si="20"/>
        <v>0</v>
      </c>
      <c r="Q39" s="198">
        <f t="shared" si="21"/>
        <v>-37</v>
      </c>
      <c r="R39" s="176">
        <f t="shared" si="22"/>
        <v>0.74</v>
      </c>
      <c r="S39" s="177"/>
    </row>
    <row r="40" spans="1:19" customFormat="1" ht="12.75" customHeight="1" x14ac:dyDescent="0.25">
      <c r="A40" s="323" t="s">
        <v>1006</v>
      </c>
      <c r="B40" s="334"/>
      <c r="C40" s="335"/>
      <c r="D40" s="335"/>
      <c r="E40" s="336" t="s">
        <v>1007</v>
      </c>
      <c r="F40" s="335"/>
      <c r="G40" s="337"/>
      <c r="H40" s="358">
        <v>0</v>
      </c>
      <c r="I40" s="358">
        <v>0</v>
      </c>
      <c r="J40" s="358">
        <v>1716</v>
      </c>
      <c r="K40" s="359">
        <f t="shared" si="18"/>
        <v>1716</v>
      </c>
      <c r="L40" s="358">
        <v>2</v>
      </c>
      <c r="M40" s="358">
        <v>0</v>
      </c>
      <c r="N40" s="358">
        <v>1658</v>
      </c>
      <c r="O40" s="359">
        <f t="shared" si="19"/>
        <v>1660</v>
      </c>
      <c r="P40" s="347" t="str">
        <f t="shared" si="20"/>
        <v>6</v>
      </c>
      <c r="Q40" s="198">
        <f t="shared" si="21"/>
        <v>56</v>
      </c>
      <c r="R40" s="176">
        <f t="shared" si="22"/>
        <v>3.3734939759036145E-2</v>
      </c>
      <c r="S40" s="177"/>
    </row>
    <row r="41" spans="1:19" customFormat="1" ht="12.75" customHeight="1" x14ac:dyDescent="0.25">
      <c r="A41" s="323" t="s">
        <v>1008</v>
      </c>
      <c r="B41" s="334"/>
      <c r="C41" s="335"/>
      <c r="D41" s="335"/>
      <c r="E41" s="336" t="s">
        <v>1009</v>
      </c>
      <c r="F41" s="335"/>
      <c r="G41" s="337"/>
      <c r="H41" s="358">
        <v>0</v>
      </c>
      <c r="I41" s="358">
        <v>0</v>
      </c>
      <c r="J41" s="358">
        <v>130</v>
      </c>
      <c r="K41" s="359">
        <f t="shared" si="18"/>
        <v>130</v>
      </c>
      <c r="L41" s="358">
        <v>0</v>
      </c>
      <c r="M41" s="358">
        <v>0</v>
      </c>
      <c r="N41" s="358">
        <v>124</v>
      </c>
      <c r="O41" s="359">
        <f t="shared" si="19"/>
        <v>124</v>
      </c>
      <c r="P41" s="347" t="str">
        <f t="shared" si="20"/>
        <v>0</v>
      </c>
      <c r="Q41" s="198">
        <f t="shared" si="21"/>
        <v>6</v>
      </c>
      <c r="R41" s="176">
        <f t="shared" si="22"/>
        <v>4.8387096774193547E-2</v>
      </c>
      <c r="S41" s="177"/>
    </row>
    <row r="42" spans="1:19" customFormat="1" ht="12.75" customHeight="1" x14ac:dyDescent="0.25">
      <c r="A42" s="323" t="s">
        <v>1010</v>
      </c>
      <c r="B42" s="339"/>
      <c r="C42" s="340"/>
      <c r="D42" s="340" t="s">
        <v>1017</v>
      </c>
      <c r="E42" s="341"/>
      <c r="F42" s="341"/>
      <c r="G42" s="342"/>
      <c r="H42" s="360">
        <f t="shared" ref="H42:O42" si="23">SUM(H35:H41)</f>
        <v>4027</v>
      </c>
      <c r="I42" s="360">
        <f t="shared" si="23"/>
        <v>8</v>
      </c>
      <c r="J42" s="360">
        <f t="shared" si="23"/>
        <v>14430</v>
      </c>
      <c r="K42" s="360">
        <f t="shared" si="23"/>
        <v>18465</v>
      </c>
      <c r="L42" s="360">
        <f t="shared" si="23"/>
        <v>4154</v>
      </c>
      <c r="M42" s="360">
        <f t="shared" si="23"/>
        <v>29</v>
      </c>
      <c r="N42" s="360">
        <f t="shared" si="23"/>
        <v>11549</v>
      </c>
      <c r="O42" s="360">
        <f t="shared" si="23"/>
        <v>15732</v>
      </c>
      <c r="P42" s="176"/>
      <c r="Q42" s="198">
        <f t="shared" si="21"/>
        <v>2733</v>
      </c>
      <c r="R42" s="176">
        <f t="shared" si="22"/>
        <v>0.17372234935163997</v>
      </c>
      <c r="S42" s="177"/>
    </row>
    <row r="43" spans="1:19" customFormat="1" ht="12.75" customHeight="1" x14ac:dyDescent="0.25">
      <c r="A43" s="323"/>
      <c r="B43" s="7"/>
      <c r="C43" s="349"/>
      <c r="D43" s="350"/>
      <c r="E43" s="351"/>
      <c r="F43" s="351"/>
      <c r="G43" s="352"/>
      <c r="H43" s="33"/>
      <c r="I43" s="33"/>
      <c r="J43" s="33"/>
      <c r="K43" s="33"/>
      <c r="L43" s="33"/>
      <c r="M43" s="33"/>
      <c r="N43" s="33"/>
      <c r="O43" s="33"/>
      <c r="P43" s="176"/>
    </row>
    <row r="44" spans="1:19" customFormat="1" ht="12.75" customHeight="1" x14ac:dyDescent="0.25">
      <c r="A44" s="323" t="s">
        <v>629</v>
      </c>
      <c r="B44" s="339"/>
      <c r="C44" s="340" t="s">
        <v>1018</v>
      </c>
      <c r="D44" s="340"/>
      <c r="E44" s="341"/>
      <c r="F44" s="341"/>
      <c r="G44" s="342"/>
      <c r="H44" s="360">
        <f t="shared" ref="H44:O44" si="24">SUM(H32+H42)</f>
        <v>69438</v>
      </c>
      <c r="I44" s="360">
        <f t="shared" si="24"/>
        <v>1170</v>
      </c>
      <c r="J44" s="360">
        <f t="shared" si="24"/>
        <v>49014</v>
      </c>
      <c r="K44" s="360">
        <f t="shared" si="24"/>
        <v>119622</v>
      </c>
      <c r="L44" s="360">
        <f t="shared" si="24"/>
        <v>65223</v>
      </c>
      <c r="M44" s="360">
        <f t="shared" si="24"/>
        <v>885</v>
      </c>
      <c r="N44" s="360">
        <f t="shared" si="24"/>
        <v>42864</v>
      </c>
      <c r="O44" s="360">
        <f t="shared" si="24"/>
        <v>108972</v>
      </c>
      <c r="P44" s="176"/>
      <c r="Q44" s="198">
        <f>K44-O44</f>
        <v>10650</v>
      </c>
      <c r="R44" s="176">
        <f>IF(AND(OR(K44=0,O44&lt;&gt;0),OR(O44=0,K44&lt;&gt;0)),IF((K44+O44+Q44&lt;&gt;0),IF(AND(OR(K44&gt;0,O44&lt;0),OR(O44&gt;0,K44&lt;0)),ABS(Q44/MIN(ABS(O44),ABS(K44))),10),"-"),10)</f>
        <v>9.7731527364827667E-2</v>
      </c>
      <c r="S44" s="177"/>
    </row>
    <row r="45" spans="1:19" customFormat="1" ht="12.75" customHeight="1" x14ac:dyDescent="0.25">
      <c r="A45" s="323"/>
      <c r="B45" s="7"/>
      <c r="C45" s="349"/>
      <c r="D45" s="350"/>
      <c r="E45" s="351"/>
      <c r="F45" s="351"/>
      <c r="G45" s="352"/>
      <c r="H45" s="33"/>
      <c r="I45" s="33"/>
      <c r="J45" s="33"/>
      <c r="K45" s="33"/>
      <c r="L45" s="33"/>
      <c r="M45" s="33"/>
      <c r="N45" s="33"/>
      <c r="O45" s="33"/>
      <c r="P45" s="176"/>
      <c r="Q45" s="143"/>
    </row>
    <row r="46" spans="1:19" customFormat="1" ht="12.75" customHeight="1" x14ac:dyDescent="0.25">
      <c r="A46" s="323" t="s">
        <v>631</v>
      </c>
      <c r="B46" s="361"/>
      <c r="C46" s="362"/>
      <c r="D46" s="329" t="s">
        <v>1019</v>
      </c>
      <c r="E46" s="362"/>
      <c r="F46" s="362"/>
      <c r="G46" s="363"/>
      <c r="H46" s="357"/>
      <c r="I46" s="357"/>
      <c r="J46" s="357"/>
      <c r="K46" s="357"/>
      <c r="L46" s="357"/>
      <c r="M46" s="357"/>
      <c r="N46" s="357"/>
      <c r="O46" s="357"/>
      <c r="P46" s="176"/>
    </row>
    <row r="47" spans="1:19" customFormat="1" ht="12.75" customHeight="1" x14ac:dyDescent="0.25">
      <c r="A47" s="323" t="s">
        <v>996</v>
      </c>
      <c r="B47" s="334"/>
      <c r="C47" s="335"/>
      <c r="D47" s="335"/>
      <c r="E47" s="336" t="s">
        <v>997</v>
      </c>
      <c r="F47" s="335"/>
      <c r="G47" s="337"/>
      <c r="H47" s="364" t="s">
        <v>1020</v>
      </c>
      <c r="I47" s="364" t="s">
        <v>1020</v>
      </c>
      <c r="J47" s="364" t="s">
        <v>1020</v>
      </c>
      <c r="K47" s="358">
        <v>81670</v>
      </c>
      <c r="L47" s="364" t="s">
        <v>1020</v>
      </c>
      <c r="M47" s="364" t="s">
        <v>1020</v>
      </c>
      <c r="N47" s="364" t="s">
        <v>1020</v>
      </c>
      <c r="O47" s="358">
        <v>73100</v>
      </c>
      <c r="P47" s="347" t="str">
        <f t="shared" ref="P47:P53" si="25">IF(K47=0,"zero",RIGHT(K47,1))</f>
        <v>0</v>
      </c>
      <c r="Q47" s="198">
        <f t="shared" ref="Q47:Q54" si="26">K47-O47</f>
        <v>8570</v>
      </c>
      <c r="R47" s="176">
        <f t="shared" ref="R47:R54" si="27">IF(AND(OR(K47=0,O47&lt;&gt;0),OR(O47=0,K47&lt;&gt;0)),IF((K47+O47+Q47&lt;&gt;0),IF(AND(OR(K47&gt;0,O47&lt;0),OR(O47&gt;0,K47&lt;0)),ABS(Q47/MIN(ABS(O47),ABS(K47))),10),"-"),10)</f>
        <v>0.11723666210670315</v>
      </c>
      <c r="S47" s="177"/>
    </row>
    <row r="48" spans="1:19" customFormat="1" ht="12.75" customHeight="1" x14ac:dyDescent="0.25">
      <c r="A48" s="323" t="s">
        <v>998</v>
      </c>
      <c r="B48" s="334"/>
      <c r="C48" s="335"/>
      <c r="D48" s="335"/>
      <c r="E48" s="336" t="s">
        <v>999</v>
      </c>
      <c r="F48" s="335"/>
      <c r="G48" s="337"/>
      <c r="H48" s="364" t="s">
        <v>1020</v>
      </c>
      <c r="I48" s="364" t="s">
        <v>1020</v>
      </c>
      <c r="J48" s="364" t="s">
        <v>1020</v>
      </c>
      <c r="K48" s="358">
        <v>0</v>
      </c>
      <c r="L48" s="364" t="s">
        <v>1020</v>
      </c>
      <c r="M48" s="364" t="s">
        <v>1020</v>
      </c>
      <c r="N48" s="364" t="s">
        <v>1020</v>
      </c>
      <c r="O48" s="358">
        <v>0</v>
      </c>
      <c r="P48" s="347" t="str">
        <f t="shared" si="25"/>
        <v>zero</v>
      </c>
      <c r="Q48" s="198">
        <f t="shared" si="26"/>
        <v>0</v>
      </c>
      <c r="R48" s="176" t="str">
        <f t="shared" si="27"/>
        <v>-</v>
      </c>
      <c r="S48" s="177"/>
    </row>
    <row r="49" spans="1:19" customFormat="1" ht="12.75" customHeight="1" x14ac:dyDescent="0.25">
      <c r="A49" s="323" t="s">
        <v>1000</v>
      </c>
      <c r="B49" s="334"/>
      <c r="C49" s="335"/>
      <c r="D49" s="335"/>
      <c r="E49" s="336" t="s">
        <v>1001</v>
      </c>
      <c r="F49" s="335"/>
      <c r="G49" s="337"/>
      <c r="H49" s="364" t="s">
        <v>1020</v>
      </c>
      <c r="I49" s="364" t="s">
        <v>1020</v>
      </c>
      <c r="J49" s="364" t="s">
        <v>1020</v>
      </c>
      <c r="K49" s="358">
        <v>60122</v>
      </c>
      <c r="L49" s="364" t="s">
        <v>1020</v>
      </c>
      <c r="M49" s="364" t="s">
        <v>1020</v>
      </c>
      <c r="N49" s="364" t="s">
        <v>1020</v>
      </c>
      <c r="O49" s="358">
        <v>53823</v>
      </c>
      <c r="P49" s="347" t="str">
        <f t="shared" si="25"/>
        <v>2</v>
      </c>
      <c r="Q49" s="198">
        <f t="shared" si="26"/>
        <v>6299</v>
      </c>
      <c r="R49" s="176">
        <f t="shared" si="27"/>
        <v>0.11703175222488527</v>
      </c>
      <c r="S49" s="177"/>
    </row>
    <row r="50" spans="1:19" customFormat="1" ht="12.75" customHeight="1" x14ac:dyDescent="0.25">
      <c r="A50" s="323" t="s">
        <v>1002</v>
      </c>
      <c r="B50" s="334"/>
      <c r="C50" s="335"/>
      <c r="D50" s="335"/>
      <c r="E50" s="336" t="s">
        <v>1003</v>
      </c>
      <c r="F50" s="335"/>
      <c r="G50" s="9"/>
      <c r="H50" s="364" t="s">
        <v>1020</v>
      </c>
      <c r="I50" s="364" t="s">
        <v>1020</v>
      </c>
      <c r="J50" s="364" t="s">
        <v>1020</v>
      </c>
      <c r="K50" s="358">
        <v>17432</v>
      </c>
      <c r="L50" s="364" t="s">
        <v>1020</v>
      </c>
      <c r="M50" s="364" t="s">
        <v>1020</v>
      </c>
      <c r="N50" s="364" t="s">
        <v>1020</v>
      </c>
      <c r="O50" s="358">
        <v>15881</v>
      </c>
      <c r="P50" s="347" t="str">
        <f t="shared" si="25"/>
        <v>2</v>
      </c>
      <c r="Q50" s="198">
        <f t="shared" si="26"/>
        <v>1551</v>
      </c>
      <c r="R50" s="176">
        <f t="shared" si="27"/>
        <v>9.7663875070839373E-2</v>
      </c>
      <c r="S50" s="177"/>
    </row>
    <row r="51" spans="1:19" customFormat="1" ht="12.75" customHeight="1" x14ac:dyDescent="0.25">
      <c r="A51" s="323" t="s">
        <v>1004</v>
      </c>
      <c r="B51" s="334"/>
      <c r="C51" s="335"/>
      <c r="D51" s="335"/>
      <c r="E51" s="336" t="s">
        <v>1005</v>
      </c>
      <c r="F51" s="335"/>
      <c r="G51" s="9"/>
      <c r="H51" s="364" t="s">
        <v>1020</v>
      </c>
      <c r="I51" s="364" t="s">
        <v>1020</v>
      </c>
      <c r="J51" s="364" t="s">
        <v>1020</v>
      </c>
      <c r="K51" s="358">
        <v>8294</v>
      </c>
      <c r="L51" s="364" t="s">
        <v>1020</v>
      </c>
      <c r="M51" s="364" t="s">
        <v>1020</v>
      </c>
      <c r="N51" s="364" t="s">
        <v>1020</v>
      </c>
      <c r="O51" s="358">
        <v>7078</v>
      </c>
      <c r="P51" s="347" t="str">
        <f t="shared" si="25"/>
        <v>4</v>
      </c>
      <c r="Q51" s="198">
        <f t="shared" si="26"/>
        <v>1216</v>
      </c>
      <c r="R51" s="176">
        <f t="shared" si="27"/>
        <v>0.1717999434868607</v>
      </c>
      <c r="S51" s="177"/>
    </row>
    <row r="52" spans="1:19" customFormat="1" ht="12.75" customHeight="1" x14ac:dyDescent="0.25">
      <c r="A52" s="323" t="s">
        <v>1006</v>
      </c>
      <c r="B52" s="334"/>
      <c r="C52" s="335"/>
      <c r="D52" s="335"/>
      <c r="E52" s="336" t="s">
        <v>1007</v>
      </c>
      <c r="F52" s="335"/>
      <c r="G52" s="337"/>
      <c r="H52" s="364" t="s">
        <v>1020</v>
      </c>
      <c r="I52" s="364" t="s">
        <v>1020</v>
      </c>
      <c r="J52" s="364" t="s">
        <v>1020</v>
      </c>
      <c r="K52" s="358">
        <v>430</v>
      </c>
      <c r="L52" s="364" t="s">
        <v>1020</v>
      </c>
      <c r="M52" s="364" t="s">
        <v>1020</v>
      </c>
      <c r="N52" s="364" t="s">
        <v>1020</v>
      </c>
      <c r="O52" s="358">
        <v>295</v>
      </c>
      <c r="P52" s="347" t="str">
        <f t="shared" si="25"/>
        <v>0</v>
      </c>
      <c r="Q52" s="198">
        <f t="shared" si="26"/>
        <v>135</v>
      </c>
      <c r="R52" s="176">
        <f t="shared" si="27"/>
        <v>0.4576271186440678</v>
      </c>
      <c r="S52" s="177"/>
    </row>
    <row r="53" spans="1:19" customFormat="1" ht="12.75" customHeight="1" x14ac:dyDescent="0.25">
      <c r="A53" s="323" t="s">
        <v>1008</v>
      </c>
      <c r="B53" s="334"/>
      <c r="C53" s="335"/>
      <c r="D53" s="335"/>
      <c r="E53" s="336" t="s">
        <v>1009</v>
      </c>
      <c r="F53" s="335"/>
      <c r="G53" s="337"/>
      <c r="H53" s="364" t="s">
        <v>1020</v>
      </c>
      <c r="I53" s="364" t="s">
        <v>1020</v>
      </c>
      <c r="J53" s="364" t="s">
        <v>1020</v>
      </c>
      <c r="K53" s="358">
        <v>206</v>
      </c>
      <c r="L53" s="364" t="s">
        <v>1020</v>
      </c>
      <c r="M53" s="364" t="s">
        <v>1020</v>
      </c>
      <c r="N53" s="364" t="s">
        <v>1020</v>
      </c>
      <c r="O53" s="358">
        <v>259</v>
      </c>
      <c r="P53" s="347" t="str">
        <f t="shared" si="25"/>
        <v>6</v>
      </c>
      <c r="Q53" s="198">
        <f t="shared" si="26"/>
        <v>-53</v>
      </c>
      <c r="R53" s="176">
        <f t="shared" si="27"/>
        <v>0.25728155339805825</v>
      </c>
      <c r="S53" s="177"/>
    </row>
    <row r="54" spans="1:19" customFormat="1" ht="12.75" customHeight="1" x14ac:dyDescent="0.25">
      <c r="A54" s="323" t="s">
        <v>1010</v>
      </c>
      <c r="B54" s="339"/>
      <c r="C54" s="340"/>
      <c r="D54" s="340" t="s">
        <v>1021</v>
      </c>
      <c r="E54" s="365"/>
      <c r="F54" s="365"/>
      <c r="G54" s="366"/>
      <c r="H54" s="367" t="s">
        <v>1020</v>
      </c>
      <c r="I54" s="367" t="s">
        <v>1020</v>
      </c>
      <c r="J54" s="367" t="s">
        <v>1020</v>
      </c>
      <c r="K54" s="360">
        <f>SUM(K47:K53)</f>
        <v>168154</v>
      </c>
      <c r="L54" s="367" t="s">
        <v>1020</v>
      </c>
      <c r="M54" s="367" t="s">
        <v>1020</v>
      </c>
      <c r="N54" s="367" t="s">
        <v>1020</v>
      </c>
      <c r="O54" s="360">
        <f>SUM(O47:O53)</f>
        <v>150436</v>
      </c>
      <c r="P54" s="176"/>
      <c r="Q54" s="198">
        <f t="shared" si="26"/>
        <v>17718</v>
      </c>
      <c r="R54" s="176">
        <f t="shared" si="27"/>
        <v>0.11777765960275466</v>
      </c>
      <c r="S54" s="177"/>
    </row>
    <row r="55" spans="1:19" customFormat="1" ht="12.75" customHeight="1" x14ac:dyDescent="0.25">
      <c r="A55" s="323"/>
      <c r="B55" s="7"/>
      <c r="C55" s="336"/>
      <c r="D55" s="335"/>
      <c r="E55" s="335"/>
      <c r="F55" s="335"/>
      <c r="G55" s="32"/>
      <c r="H55" s="34"/>
      <c r="I55" s="34"/>
      <c r="J55" s="34"/>
      <c r="K55" s="368"/>
      <c r="L55" s="34"/>
      <c r="M55" s="34"/>
      <c r="N55" s="34"/>
      <c r="O55" s="368"/>
      <c r="P55" s="176"/>
    </row>
    <row r="56" spans="1:19" customFormat="1" ht="12.75" customHeight="1" x14ac:dyDescent="0.25">
      <c r="A56" s="323" t="s">
        <v>633</v>
      </c>
      <c r="B56" s="369" t="s">
        <v>1022</v>
      </c>
      <c r="C56" s="370"/>
      <c r="D56" s="370"/>
      <c r="E56" s="370"/>
      <c r="F56" s="370"/>
      <c r="G56" s="371"/>
      <c r="H56" s="372" t="s">
        <v>1020</v>
      </c>
      <c r="I56" s="372" t="s">
        <v>1020</v>
      </c>
      <c r="J56" s="372" t="s">
        <v>1020</v>
      </c>
      <c r="K56" s="343">
        <f>SUM(K44+K54)</f>
        <v>287776</v>
      </c>
      <c r="L56" s="372" t="s">
        <v>1020</v>
      </c>
      <c r="M56" s="372" t="s">
        <v>1020</v>
      </c>
      <c r="N56" s="372" t="s">
        <v>1020</v>
      </c>
      <c r="O56" s="343">
        <f>SUM(O44+O54)</f>
        <v>259408</v>
      </c>
      <c r="P56" s="176"/>
    </row>
    <row r="57" spans="1:19" customFormat="1" ht="12.75" customHeight="1" x14ac:dyDescent="0.25">
      <c r="A57" s="323"/>
      <c r="B57" s="7"/>
      <c r="C57" s="349"/>
      <c r="D57" s="350"/>
      <c r="E57" s="351"/>
      <c r="F57" s="351"/>
      <c r="G57" s="352"/>
      <c r="H57" s="373"/>
      <c r="I57" s="373"/>
      <c r="J57" s="373"/>
      <c r="K57" s="368"/>
      <c r="L57" s="373"/>
      <c r="M57" s="373"/>
      <c r="N57" s="373"/>
      <c r="O57" s="368"/>
      <c r="P57" s="176"/>
    </row>
    <row r="58" spans="1:19" customFormat="1" ht="12.75" customHeight="1" x14ac:dyDescent="0.25">
      <c r="A58" s="323">
        <v>2</v>
      </c>
      <c r="B58" s="374" t="s">
        <v>1023</v>
      </c>
      <c r="C58" s="336"/>
      <c r="D58" s="336"/>
      <c r="E58" s="336"/>
      <c r="F58" s="336"/>
      <c r="G58" s="375"/>
      <c r="H58" s="376" t="s">
        <v>1020</v>
      </c>
      <c r="I58" s="376" t="s">
        <v>1020</v>
      </c>
      <c r="J58" s="376" t="s">
        <v>1020</v>
      </c>
      <c r="K58" s="358">
        <v>6399</v>
      </c>
      <c r="L58" s="376" t="s">
        <v>1020</v>
      </c>
      <c r="M58" s="376" t="s">
        <v>1020</v>
      </c>
      <c r="N58" s="376" t="s">
        <v>1020</v>
      </c>
      <c r="O58" s="358">
        <v>3611</v>
      </c>
      <c r="P58" s="347" t="str">
        <f>IF(K58=0,"zero",RIGHT(K58,1))</f>
        <v>9</v>
      </c>
      <c r="Q58" s="198">
        <f>K58-O58</f>
        <v>2788</v>
      </c>
      <c r="R58" s="176">
        <f>IF(AND(OR(K58=0,O58&lt;&gt;0),OR(O58=0,K58&lt;&gt;0)),IF((K58+O58+Q58&lt;&gt;0),IF(AND(OR(K58&gt;0,O58&lt;0),OR(O58&gt;0,K58&lt;0)),ABS(Q58/MIN(ABS(O58),ABS(K58))),10),"-"),10)</f>
        <v>0.77208529493215172</v>
      </c>
      <c r="S58" s="177"/>
    </row>
    <row r="59" spans="1:19" customFormat="1" ht="12.75" customHeight="1" x14ac:dyDescent="0.25">
      <c r="A59" s="323">
        <v>3</v>
      </c>
      <c r="B59" s="374" t="s">
        <v>1024</v>
      </c>
      <c r="C59" s="336"/>
      <c r="D59" s="336"/>
      <c r="E59" s="336"/>
      <c r="F59" s="336"/>
      <c r="G59" s="375"/>
      <c r="H59" s="376" t="s">
        <v>1020</v>
      </c>
      <c r="I59" s="376" t="s">
        <v>1020</v>
      </c>
      <c r="J59" s="376" t="s">
        <v>1020</v>
      </c>
      <c r="K59" s="358">
        <v>0</v>
      </c>
      <c r="L59" s="376" t="s">
        <v>1020</v>
      </c>
      <c r="M59" s="376" t="s">
        <v>1020</v>
      </c>
      <c r="N59" s="376" t="s">
        <v>1020</v>
      </c>
      <c r="O59" s="358">
        <v>0</v>
      </c>
      <c r="P59" s="347" t="str">
        <f>IF(K59=0,"zero",RIGHT(K59,1))</f>
        <v>zero</v>
      </c>
      <c r="Q59" s="198">
        <f>K59-O59</f>
        <v>0</v>
      </c>
      <c r="R59" s="176" t="str">
        <f>IF(AND(OR(K59=0,O59&lt;&gt;0),OR(O59=0,K59&lt;&gt;0)),IF((K59+O59+Q59&lt;&gt;0),IF(AND(OR(K59&gt;0,O59&lt;0),OR(O59&gt;0,K59&lt;0)),ABS(Q59/MIN(ABS(O59),ABS(K59))),10),"-"),10)</f>
        <v>-</v>
      </c>
      <c r="S59" s="177"/>
    </row>
    <row r="60" spans="1:19" customFormat="1" ht="12.75" customHeight="1" x14ac:dyDescent="0.25">
      <c r="A60" s="323">
        <v>4</v>
      </c>
      <c r="B60" s="324" t="s">
        <v>1025</v>
      </c>
      <c r="C60" s="325"/>
      <c r="D60" s="325"/>
      <c r="E60" s="325"/>
      <c r="F60" s="325"/>
      <c r="G60" s="326"/>
      <c r="H60" s="377"/>
      <c r="I60" s="377"/>
      <c r="J60" s="377"/>
      <c r="K60" s="377"/>
      <c r="L60" s="377"/>
      <c r="M60" s="377"/>
      <c r="N60" s="377"/>
      <c r="O60" s="377"/>
      <c r="P60" s="176"/>
    </row>
    <row r="61" spans="1:19" customFormat="1" ht="12.75" customHeight="1" x14ac:dyDescent="0.25">
      <c r="A61" s="323" t="s">
        <v>707</v>
      </c>
      <c r="B61" s="378"/>
      <c r="C61" s="336" t="s">
        <v>1026</v>
      </c>
      <c r="D61" s="335"/>
      <c r="E61" s="335"/>
      <c r="F61" s="335"/>
      <c r="G61" s="337"/>
      <c r="H61" s="376" t="s">
        <v>1020</v>
      </c>
      <c r="I61" s="376" t="s">
        <v>1020</v>
      </c>
      <c r="J61" s="376" t="s">
        <v>1020</v>
      </c>
      <c r="K61" s="358">
        <v>0</v>
      </c>
      <c r="L61" s="376" t="s">
        <v>1020</v>
      </c>
      <c r="M61" s="376" t="s">
        <v>1020</v>
      </c>
      <c r="N61" s="376" t="s">
        <v>1020</v>
      </c>
      <c r="O61" s="358">
        <v>0</v>
      </c>
      <c r="P61" s="347" t="str">
        <f>IF(K61=0,"zero",RIGHT(K61,1))</f>
        <v>zero</v>
      </c>
      <c r="Q61" s="198">
        <f>K61-O61</f>
        <v>0</v>
      </c>
      <c r="R61" s="176" t="str">
        <f>IF(AND(OR(K61=0,O61&lt;&gt;0),OR(O61=0,K61&lt;&gt;0)),IF((K61+O61+Q61&lt;&gt;0),IF(AND(OR(K61&gt;0,O61&lt;0),OR(O61&gt;0,K61&lt;0)),ABS(Q61/MIN(ABS(O61),ABS(K61))),10),"-"),10)</f>
        <v>-</v>
      </c>
      <c r="S61" s="177"/>
    </row>
    <row r="62" spans="1:19" customFormat="1" ht="12.75" customHeight="1" x14ac:dyDescent="0.25">
      <c r="A62" s="323" t="s">
        <v>708</v>
      </c>
      <c r="B62" s="378"/>
      <c r="C62" s="336" t="s">
        <v>1027</v>
      </c>
      <c r="D62" s="335"/>
      <c r="E62" s="335"/>
      <c r="F62" s="335"/>
      <c r="G62" s="337"/>
      <c r="H62" s="376" t="s">
        <v>1020</v>
      </c>
      <c r="I62" s="376" t="s">
        <v>1020</v>
      </c>
      <c r="J62" s="376" t="s">
        <v>1020</v>
      </c>
      <c r="K62" s="358">
        <v>17840</v>
      </c>
      <c r="L62" s="376" t="s">
        <v>1020</v>
      </c>
      <c r="M62" s="376" t="s">
        <v>1020</v>
      </c>
      <c r="N62" s="376" t="s">
        <v>1020</v>
      </c>
      <c r="O62" s="358">
        <v>15474</v>
      </c>
      <c r="P62" s="347" t="str">
        <f>IF(K62=0,"zero",RIGHT(K62,1))</f>
        <v>0</v>
      </c>
      <c r="Q62" s="198">
        <f>K62-O62</f>
        <v>2366</v>
      </c>
      <c r="R62" s="176">
        <f>IF(AND(OR(K62=0,O62&lt;&gt;0),OR(O62=0,K62&lt;&gt;0)),IF((K62+O62+Q62&lt;&gt;0),IF(AND(OR(K62&gt;0,O62&lt;0),OR(O62&gt;0,K62&lt;0)),ABS(Q62/MIN(ABS(O62),ABS(K62))),10),"-"),10)</f>
        <v>0.1529016414630994</v>
      </c>
      <c r="S62" s="177"/>
    </row>
    <row r="63" spans="1:19" customFormat="1" ht="12.75" customHeight="1" x14ac:dyDescent="0.25">
      <c r="A63" s="323" t="s">
        <v>709</v>
      </c>
      <c r="B63" s="379" t="s">
        <v>1028</v>
      </c>
      <c r="C63" s="380"/>
      <c r="D63" s="380"/>
      <c r="E63" s="380"/>
      <c r="F63" s="380"/>
      <c r="G63" s="381"/>
      <c r="H63" s="372" t="s">
        <v>1020</v>
      </c>
      <c r="I63" s="372" t="s">
        <v>1020</v>
      </c>
      <c r="J63" s="372" t="s">
        <v>1020</v>
      </c>
      <c r="K63" s="343">
        <f>SUM(K61:K62)</f>
        <v>17840</v>
      </c>
      <c r="L63" s="372" t="s">
        <v>1020</v>
      </c>
      <c r="M63" s="372" t="s">
        <v>1020</v>
      </c>
      <c r="N63" s="372" t="s">
        <v>1020</v>
      </c>
      <c r="O63" s="343">
        <f>SUM(O61:O62)</f>
        <v>15474</v>
      </c>
    </row>
    <row r="64" spans="1:19" customFormat="1" ht="12.75" customHeight="1" x14ac:dyDescent="0.25">
      <c r="A64" s="323"/>
      <c r="B64" s="382"/>
      <c r="C64" s="383"/>
      <c r="D64" s="383"/>
      <c r="E64" s="383"/>
      <c r="F64" s="383"/>
      <c r="G64" s="384"/>
      <c r="H64" s="385"/>
      <c r="I64" s="385"/>
      <c r="J64" s="385"/>
      <c r="K64" s="385"/>
      <c r="L64" s="385"/>
      <c r="M64" s="385"/>
      <c r="N64" s="385"/>
      <c r="O64" s="385"/>
    </row>
    <row r="65" spans="1:15" customFormat="1" ht="12.75" customHeight="1" x14ac:dyDescent="0.25">
      <c r="A65" s="323">
        <v>5</v>
      </c>
      <c r="B65" s="369" t="s">
        <v>1029</v>
      </c>
      <c r="C65" s="370"/>
      <c r="D65" s="370"/>
      <c r="E65" s="370"/>
      <c r="F65" s="370"/>
      <c r="G65" s="371"/>
      <c r="H65" s="372" t="s">
        <v>1020</v>
      </c>
      <c r="I65" s="372" t="s">
        <v>1020</v>
      </c>
      <c r="J65" s="372" t="s">
        <v>1020</v>
      </c>
      <c r="K65" s="343">
        <f>SUM(K56,K58,K59,K63)</f>
        <v>312015</v>
      </c>
      <c r="L65" s="372" t="s">
        <v>1020</v>
      </c>
      <c r="M65" s="372" t="s">
        <v>1020</v>
      </c>
      <c r="N65" s="372" t="s">
        <v>1020</v>
      </c>
      <c r="O65" s="343">
        <f>SUM(O56,O58,O59,O63)</f>
        <v>278493</v>
      </c>
    </row>
    <row r="66" spans="1:15" customFormat="1" ht="12.75" customHeight="1" x14ac:dyDescent="0.25">
      <c r="A66" s="323"/>
      <c r="B66" s="7"/>
      <c r="C66" s="349"/>
      <c r="D66" s="350"/>
      <c r="E66" s="351"/>
      <c r="F66" s="351"/>
      <c r="G66" s="352"/>
      <c r="H66" s="373"/>
      <c r="I66" s="373"/>
      <c r="J66" s="373"/>
      <c r="K66" s="368"/>
      <c r="L66" s="373"/>
      <c r="M66" s="373"/>
      <c r="N66" s="373"/>
      <c r="O66" s="368"/>
    </row>
    <row r="67" spans="1:15" customFormat="1" ht="12.75" customHeight="1" x14ac:dyDescent="0.25">
      <c r="A67" s="323">
        <v>6</v>
      </c>
      <c r="B67" s="324" t="s">
        <v>1030</v>
      </c>
      <c r="C67" s="325"/>
      <c r="D67" s="325"/>
      <c r="E67" s="325"/>
      <c r="F67" s="325"/>
      <c r="G67" s="326"/>
      <c r="H67" s="357"/>
      <c r="I67" s="357"/>
      <c r="J67" s="357"/>
      <c r="K67" s="357"/>
      <c r="L67" s="357"/>
      <c r="M67" s="357"/>
      <c r="N67" s="357"/>
      <c r="O67" s="357"/>
    </row>
    <row r="68" spans="1:15" customFormat="1" ht="12.75" customHeight="1" x14ac:dyDescent="0.25">
      <c r="A68" s="323" t="s">
        <v>844</v>
      </c>
      <c r="B68" s="370" t="s">
        <v>1031</v>
      </c>
      <c r="C68" s="370"/>
      <c r="D68" s="386"/>
      <c r="E68" s="386"/>
      <c r="F68" s="386"/>
      <c r="G68" s="387"/>
      <c r="H68" s="388" t="s">
        <v>1020</v>
      </c>
      <c r="I68" s="388" t="s">
        <v>1020</v>
      </c>
      <c r="J68" s="388" t="s">
        <v>1020</v>
      </c>
      <c r="K68" s="388" t="s">
        <v>1020</v>
      </c>
      <c r="L68" s="388" t="s">
        <v>1020</v>
      </c>
      <c r="M68" s="388" t="s">
        <v>1020</v>
      </c>
      <c r="N68" s="388" t="s">
        <v>1020</v>
      </c>
      <c r="O68" s="388" t="s">
        <v>1020</v>
      </c>
    </row>
    <row r="69" spans="1:15" customFormat="1" ht="12.75" customHeight="1" x14ac:dyDescent="0.25">
      <c r="A69" s="323" t="s">
        <v>846</v>
      </c>
      <c r="B69" s="370" t="s">
        <v>1032</v>
      </c>
      <c r="C69" s="370"/>
      <c r="D69" s="386"/>
      <c r="E69" s="386"/>
      <c r="F69" s="386"/>
      <c r="G69" s="387"/>
      <c r="H69" s="388" t="s">
        <v>1020</v>
      </c>
      <c r="I69" s="388" t="s">
        <v>1020</v>
      </c>
      <c r="J69" s="388" t="s">
        <v>1020</v>
      </c>
      <c r="K69" s="388" t="s">
        <v>1020</v>
      </c>
      <c r="L69" s="388" t="s">
        <v>1020</v>
      </c>
      <c r="M69" s="388" t="s">
        <v>1020</v>
      </c>
      <c r="N69" s="388" t="s">
        <v>1020</v>
      </c>
      <c r="O69" s="388" t="s">
        <v>1020</v>
      </c>
    </row>
    <row r="72" spans="1:15" customFormat="1" ht="12.75" customHeight="1" x14ac:dyDescent="0.25"/>
  </sheetData>
  <sheetProtection algorithmName="SHA-512" hashValue="3Sx5sdjdDJnqpnXey/ECTcYzXXaic+INvbJhFiOrBQHRuBK51ziQG88E3ejTi5VBfgJt++iWD8W2lMH+wVAU3g==" saltValue="maU7FfxCXLPS6jgansUcDg==" spinCount="100000" sheet="1" objects="1" scenarios="1"/>
  <mergeCells count="7">
    <mergeCell ref="H3:K3"/>
    <mergeCell ref="L3:O3"/>
    <mergeCell ref="B1:G1"/>
    <mergeCell ref="H1:K1"/>
    <mergeCell ref="L1:O1"/>
    <mergeCell ref="H2:K2"/>
    <mergeCell ref="L2:O2"/>
  </mergeCells>
  <conditionalFormatting sqref="S7">
    <cfRule type="expression" dxfId="56" priority="1">
      <formula>AND(OR((R7)&gt;5,(R7)&lt;-5),(R7)&lt;&gt;"-",OR((Q7)&gt;750,(Q7)&lt;-750))</formula>
    </cfRule>
  </conditionalFormatting>
  <conditionalFormatting sqref="S8:S14">
    <cfRule type="expression" dxfId="55" priority="2">
      <formula>AND(OR((R8)&gt;5,(R8)&lt;-5),(R8)&lt;&gt;"-",OR((Q8)&gt;750,(Q8)&lt;-750))</formula>
    </cfRule>
  </conditionalFormatting>
  <conditionalFormatting sqref="S16:S23">
    <cfRule type="expression" dxfId="54" priority="3">
      <formula>AND(OR((R16)&gt;5,(R16)&lt;-5),(R16)&lt;&gt;"-",OR((Q16)&gt;750,(Q16)&lt;-750))</formula>
    </cfRule>
  </conditionalFormatting>
  <conditionalFormatting sqref="S25:S32">
    <cfRule type="expression" dxfId="53" priority="4">
      <formula>AND(OR((R25)&gt;5,(R25)&lt;-5),(R25)&lt;&gt;"-",OR((Q25)&gt;750,(Q25)&lt;-750))</formula>
    </cfRule>
  </conditionalFormatting>
  <conditionalFormatting sqref="S35:S42">
    <cfRule type="expression" dxfId="52" priority="5">
      <formula>AND(OR((R35)&gt;5,(R35)&lt;-5),(R35)&lt;&gt;"-",OR((Q35)&gt;750,(Q35)&lt;-750))</formula>
    </cfRule>
  </conditionalFormatting>
  <conditionalFormatting sqref="S44">
    <cfRule type="expression" dxfId="51" priority="6">
      <formula>AND(OR((R44)&gt;5,(R44)&lt;-5),(R44)&lt;&gt;"-",OR((Q44)&gt;750,(Q44)&lt;-750))</formula>
    </cfRule>
  </conditionalFormatting>
  <conditionalFormatting sqref="S47:S54">
    <cfRule type="expression" dxfId="50" priority="7">
      <formula>AND(OR((R47)&gt;5,(R47)&lt;-5),(R47)&lt;&gt;"-",OR((Q47)&gt;750,(Q47)&lt;-750))</formula>
    </cfRule>
  </conditionalFormatting>
  <conditionalFormatting sqref="S58:S59">
    <cfRule type="expression" dxfId="49" priority="8">
      <formula>AND(OR((R58)&gt;5,(R58)&lt;-5),(R58)&lt;&gt;"-",OR((Q58)&gt;750,(Q58)&lt;-750))</formula>
    </cfRule>
  </conditionalFormatting>
  <conditionalFormatting sqref="S61:S62">
    <cfRule type="expression" dxfId="48" priority="9">
      <formula>AND(OR((R61)&gt;5,(R61)&lt;-5),(R61)&lt;&gt;"-",OR((Q61)&gt;750,(Q61)&lt;-750))</formula>
    </cfRule>
  </conditionalFormatting>
  <dataValidations count="72">
    <dataValidation operator="greaterThan" allowBlank="1" showInputMessage="1" showErrorMessage="1" sqref="H851949:O851957"/>
    <dataValidation operator="greaterThan" allowBlank="1" showInputMessage="1" showErrorMessage="1" sqref="H786413:O786421"/>
    <dataValidation operator="greaterThan" allowBlank="1" showInputMessage="1" showErrorMessage="1" sqref="H720877:O720885"/>
    <dataValidation operator="greaterThan" allowBlank="1" showInputMessage="1" showErrorMessage="1" sqref="H655341:O655349"/>
    <dataValidation operator="greaterThan" allowBlank="1" showInputMessage="1" showErrorMessage="1" sqref="H589805:O589813"/>
    <dataValidation operator="greaterThan" allowBlank="1" showInputMessage="1" showErrorMessage="1" sqref="H524269:O524277"/>
    <dataValidation operator="greaterThan" allowBlank="1" showInputMessage="1" showErrorMessage="1" sqref="H458733:O458741"/>
    <dataValidation operator="greaterThan" allowBlank="1" showInputMessage="1" showErrorMessage="1" sqref="H393197:O393205"/>
    <dataValidation operator="greaterThan" allowBlank="1" showInputMessage="1" showErrorMessage="1" sqref="H327661:O327669"/>
    <dataValidation operator="greaterThan" allowBlank="1" showInputMessage="1" showErrorMessage="1" sqref="H262125:O262133"/>
    <dataValidation operator="greaterThan" allowBlank="1" showInputMessage="1" showErrorMessage="1" sqref="H196589:O196597"/>
    <dataValidation operator="greaterThan" allowBlank="1" showInputMessage="1" showErrorMessage="1" sqref="H131053:O131061"/>
    <dataValidation operator="greaterThan" allowBlank="1" showInputMessage="1" showErrorMessage="1" sqref="H65517:O65525"/>
    <dataValidation operator="greaterThan" allowBlank="1" showInputMessage="1" showErrorMessage="1" sqref="H983033:O983041"/>
    <dataValidation operator="greaterThan" allowBlank="1" showInputMessage="1" showErrorMessage="1" sqref="H917497:O917505"/>
    <dataValidation operator="greaterThan" allowBlank="1" showInputMessage="1" showErrorMessage="1" sqref="H851961:O851969"/>
    <dataValidation operator="greaterThan" allowBlank="1" showInputMessage="1" showErrorMessage="1" sqref="H786425:O786433"/>
    <dataValidation operator="greaterThan" allowBlank="1" showInputMessage="1" showErrorMessage="1" sqref="H720889:O720897"/>
    <dataValidation operator="greaterThan" allowBlank="1" showInputMessage="1" showErrorMessage="1" sqref="H655353:O655361"/>
    <dataValidation operator="greaterThan" allowBlank="1" showInputMessage="1" showErrorMessage="1" sqref="H589817:O589825"/>
    <dataValidation operator="greaterThan" allowBlank="1" showInputMessage="1" showErrorMessage="1" sqref="H524281:O524289"/>
    <dataValidation operator="greaterThan" allowBlank="1" showInputMessage="1" showErrorMessage="1" sqref="H458745:O458753"/>
    <dataValidation operator="greaterThan" allowBlank="1" showInputMessage="1" showErrorMessage="1" sqref="H393209:O393217"/>
    <dataValidation operator="greaterThan" allowBlank="1" showInputMessage="1" showErrorMessage="1" sqref="H327673:O327681"/>
    <dataValidation operator="greaterThan" allowBlank="1" showInputMessage="1" showErrorMessage="1" sqref="H262137:O262145"/>
    <dataValidation operator="greaterThan" allowBlank="1" showInputMessage="1" showErrorMessage="1" sqref="H196601:O196609"/>
    <dataValidation operator="greaterThan" allowBlank="1" showInputMessage="1" showErrorMessage="1" sqref="H131065:O131073"/>
    <dataValidation operator="greaterThan" allowBlank="1" showInputMessage="1" showErrorMessage="1" sqref="H65529:O65537"/>
    <dataValidation operator="greaterThan" allowBlank="1" showInputMessage="1" showErrorMessage="1" sqref="H983044:O983052"/>
    <dataValidation operator="greaterThan" allowBlank="1" showInputMessage="1" showErrorMessage="1" sqref="H917508:O917516"/>
    <dataValidation operator="greaterThan" allowBlank="1" showInputMessage="1" showErrorMessage="1" sqref="H851972:O851980"/>
    <dataValidation operator="greaterThan" allowBlank="1" showInputMessage="1" showErrorMessage="1" sqref="H786436:O786444"/>
    <dataValidation operator="greaterThan" allowBlank="1" showInputMessage="1" showErrorMessage="1" sqref="H720900:O720908"/>
    <dataValidation operator="greaterThan" allowBlank="1" showInputMessage="1" showErrorMessage="1" sqref="H655364:O655372"/>
    <dataValidation operator="greaterThan" allowBlank="1" showInputMessage="1" showErrorMessage="1" sqref="H589828:O589836"/>
    <dataValidation operator="greaterThan" allowBlank="1" showInputMessage="1" showErrorMessage="1" sqref="H524292:O524300"/>
    <dataValidation operator="greaterThan" allowBlank="1" showInputMessage="1" showErrorMessage="1" sqref="H458756:O458764"/>
    <dataValidation operator="greaterThan" allowBlank="1" showInputMessage="1" showErrorMessage="1" sqref="H393220:O393228"/>
    <dataValidation operator="greaterThan" allowBlank="1" showInputMessage="1" showErrorMessage="1" sqref="H327684:O327692"/>
    <dataValidation operator="greaterThan" allowBlank="1" showInputMessage="1" showErrorMessage="1" sqref="H262148:O262156"/>
    <dataValidation operator="greaterThan" allowBlank="1" showInputMessage="1" showErrorMessage="1" sqref="H196612:O196620"/>
    <dataValidation operator="greaterThan" allowBlank="1" showInputMessage="1" showErrorMessage="1" sqref="H131076:O131084"/>
    <dataValidation operator="greaterThan" allowBlank="1" showInputMessage="1" showErrorMessage="1" sqref="H65540:O65548"/>
    <dataValidation operator="greaterThan" allowBlank="1" showInputMessage="1" showErrorMessage="1" sqref="H983012:O983017"/>
    <dataValidation operator="greaterThan" allowBlank="1" showInputMessage="1" showErrorMessage="1" sqref="H917476:O917481"/>
    <dataValidation operator="greaterThan" allowBlank="1" showInputMessage="1" showErrorMessage="1" sqref="H851940:O851945"/>
    <dataValidation operator="greaterThan" allowBlank="1" showInputMessage="1" showErrorMessage="1" sqref="H786404:O786409"/>
    <dataValidation operator="greaterThan" allowBlank="1" showInputMessage="1" showErrorMessage="1" sqref="H720868:O720873"/>
    <dataValidation operator="greaterThan" allowBlank="1" showInputMessage="1" showErrorMessage="1" sqref="H655332:O655337"/>
    <dataValidation operator="greaterThan" allowBlank="1" showInputMessage="1" showErrorMessage="1" sqref="H589796:O589801"/>
    <dataValidation operator="greaterThan" allowBlank="1" showInputMessage="1" showErrorMessage="1" sqref="H524260:O524265"/>
    <dataValidation operator="greaterThan" allowBlank="1" showInputMessage="1" showErrorMessage="1" sqref="H458724:O458729"/>
    <dataValidation operator="greaterThan" allowBlank="1" showInputMessage="1" showErrorMessage="1" sqref="H393188:O393193"/>
    <dataValidation operator="greaterThan" allowBlank="1" showInputMessage="1" showErrorMessage="1" sqref="H327652:O327657"/>
    <dataValidation operator="greaterThan" allowBlank="1" showInputMessage="1" showErrorMessage="1" sqref="H262116:O262121"/>
    <dataValidation operator="greaterThan" allowBlank="1" showInputMessage="1" showErrorMessage="1" sqref="H196580:O196585"/>
    <dataValidation operator="greaterThan" allowBlank="1" showInputMessage="1" showErrorMessage="1" sqref="H131044:O131049"/>
    <dataValidation operator="greaterThan" allowBlank="1" showInputMessage="1" showErrorMessage="1" sqref="H65508:O65513"/>
    <dataValidation operator="greaterThan" allowBlank="1" showInputMessage="1" showErrorMessage="1" sqref="H983021:O983029"/>
    <dataValidation operator="greaterThan" allowBlank="1" showInputMessage="1" showErrorMessage="1" sqref="H917485:O917493"/>
    <dataValidation type="whole" operator="greaterThan" allowBlank="1" showInputMessage="1" showErrorMessage="1" errorTitle="Whole numbers only allowed" error="All monies should be independently rounded to the nearest £1,000." sqref="K58:K59">
      <formula1>-999999999</formula1>
    </dataValidation>
    <dataValidation type="whole" operator="greaterThan" allowBlank="1" showInputMessage="1" showErrorMessage="1" errorTitle="Whole numbers only allowed" error="All monies should be independently rounded to the nearest £1,000." sqref="H35:J41">
      <formula1>-999999999</formula1>
    </dataValidation>
    <dataValidation type="whole" operator="greaterThan" allowBlank="1" showInputMessage="1" showErrorMessage="1" errorTitle="Whole numbers only allowed" error="All monies should be independently rounded to the nearest £1,000." sqref="H47:J53">
      <formula1>-999999999</formula1>
    </dataValidation>
    <dataValidation type="whole" operator="greaterThan" allowBlank="1" showInputMessage="1" showErrorMessage="1" errorTitle="Whole numbers only allowed" error="All monies should be independently rounded to the nearest £1,000." sqref="L47:N53">
      <formula1>-999999999</formula1>
    </dataValidation>
    <dataValidation type="whole" operator="greaterThan" allowBlank="1" showInputMessage="1" showErrorMessage="1" errorTitle="Whole numbers only allowed" error="All monies should be independently rounded to the nearest £1,000." sqref="K61:K62">
      <formula1>-999999999</formula1>
    </dataValidation>
    <dataValidation type="whole" operator="greaterThan" allowBlank="1" showInputMessage="1" showErrorMessage="1" errorTitle="Whole numbers only allowed" error="All monies should be independently rounded to the nearest £1,000." sqref="O58:O59">
      <formula1>-999999999</formula1>
    </dataValidation>
    <dataValidation type="whole" operator="greaterThan" allowBlank="1" showInputMessage="1" showErrorMessage="1" errorTitle="Whole numbers only allowed" error="All monies should be independently rounded to the nearest £1,000." sqref="L35:N41">
      <formula1>-999999999</formula1>
    </dataValidation>
    <dataValidation type="whole" operator="greaterThan" allowBlank="1" showInputMessage="1" showErrorMessage="1" errorTitle="Whole numbers only allowed" error="All monies should be independently rounded to the nearest £1,000." sqref="O61:O62">
      <formula1>-999999999</formula1>
    </dataValidation>
    <dataValidation type="whole" operator="greaterThan" allowBlank="1" showInputMessage="1" showErrorMessage="1" errorTitle="Whole numbers only allowed" error="All monies should be independently rounded to the nearest £1,000." sqref="H7:J13">
      <formula1>-999999999</formula1>
    </dataValidation>
    <dataValidation type="whole" operator="greaterThan" allowBlank="1" showInputMessage="1" showErrorMessage="1" errorTitle="Whole numbers only allowed" error="All monies should be independently rounded to the nearest £1,000." sqref="L7:N13">
      <formula1>-999999999</formula1>
    </dataValidation>
    <dataValidation type="whole" operator="greaterThan" allowBlank="1" showInputMessage="1" showErrorMessage="1" errorTitle="Whole numbers only allowed" error="All monies should be independently rounded to the nearest £1,000." sqref="H16:J22">
      <formula1>-999999999</formula1>
    </dataValidation>
    <dataValidation type="whole" operator="greaterThan" allowBlank="1" showInputMessage="1" showErrorMessage="1" errorTitle="Whole numbers only allowed" error="All monies should be independently rounded to the nearest £1,000." sqref="L16:N22">
      <formula1>-999999999</formula1>
    </dataValidation>
  </dataValidations>
  <pageMargins left="0.31496062992125984" right="0.31496062992125984" top="0.74803149606299213" bottom="0.74803149606299213" header="0.31496062992125984" footer="0.31496062992125984"/>
  <pageSetup paperSize="8" scale="56" orientation="portrait" r:id="rId1"/>
  <headerFooter>
    <oddHeader>&amp;C&amp;A (England)</oddHeader>
    <oddFooter>&amp;F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S7:S14 S16:S23 S25:S32 S35:S42 S44 S47:S54 S58:S59 S61:S62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vt:i4>
      </vt:variant>
    </vt:vector>
  </HeadingPairs>
  <TitlesOfParts>
    <vt:vector size="35" baseType="lpstr">
      <vt:lpstr>Hide_me(drop_downs)</vt:lpstr>
      <vt:lpstr>Title_Page</vt:lpstr>
      <vt:lpstr>Table_1_UK</vt:lpstr>
      <vt:lpstr>Table_2_UK</vt:lpstr>
      <vt:lpstr>Table_3_UK</vt:lpstr>
      <vt:lpstr>Table_3_Scotland</vt:lpstr>
      <vt:lpstr>Table_4_UK</vt:lpstr>
      <vt:lpstr>Table_5_UK</vt:lpstr>
      <vt:lpstr>Table_6_UK</vt:lpstr>
      <vt:lpstr>Table_7_UK</vt:lpstr>
      <vt:lpstr>Table_7_England</vt:lpstr>
      <vt:lpstr>Table_7_Wales</vt:lpstr>
      <vt:lpstr>Table_7_Scotland</vt:lpstr>
      <vt:lpstr>Table_7_N_Ireland</vt:lpstr>
      <vt:lpstr>Table_8_UK</vt:lpstr>
      <vt:lpstr>Table_9_UK</vt:lpstr>
      <vt:lpstr>Table_10_UK</vt:lpstr>
      <vt:lpstr>Table_11_UK</vt:lpstr>
      <vt:lpstr>Table_12_UK</vt:lpstr>
      <vt:lpstr>Table_13_UK</vt:lpstr>
      <vt:lpstr>KFI</vt:lpstr>
      <vt:lpstr>Table_1_UK!Print_Area</vt:lpstr>
      <vt:lpstr>Table_10_UK!Print_Area</vt:lpstr>
      <vt:lpstr>Table_2_UK!Print_Area</vt:lpstr>
      <vt:lpstr>Table_3_UK!Print_Area</vt:lpstr>
      <vt:lpstr>Table_4_UK!Print_Area</vt:lpstr>
      <vt:lpstr>Table_7_England!Print_Area</vt:lpstr>
      <vt:lpstr>Table_7_N_Ireland!Print_Area</vt:lpstr>
      <vt:lpstr>Table_7_Scotland!Print_Area</vt:lpstr>
      <vt:lpstr>Table_7_Wales!Print_Area</vt:lpstr>
      <vt:lpstr>Title_Page!Print_Area</vt:lpstr>
      <vt:lpstr>Table_12_UK!Print_Titles</vt:lpstr>
      <vt:lpstr>Table_5_UK!Print_Titles</vt:lpstr>
      <vt:lpstr>Title_Page!Print_Titles</vt:lpstr>
      <vt:lpstr>Rules</vt:lpstr>
    </vt:vector>
  </TitlesOfParts>
  <Company>HESA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Fuidge</dc:creator>
  <cp:lastModifiedBy>BANNAGHAN John</cp:lastModifiedBy>
  <cp:lastPrinted>2018-10-12T14:15:08Z</cp:lastPrinted>
  <dcterms:created xsi:type="dcterms:W3CDTF">2013-10-23T08:26:51Z</dcterms:created>
  <dcterms:modified xsi:type="dcterms:W3CDTF">2019-02-18T12:08:15Z</dcterms:modified>
</cp:coreProperties>
</file>