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d\dst\shared\CSG\Finance\FIRST\Statutory Reporting\HESA\HESA FSR 18-19\Submission\"/>
    </mc:Choice>
  </mc:AlternateContent>
  <workbookProtection workbookAlgorithmName="SHA-512" workbookHashValue="FTZMHXNUvil+yTwNTehS688s0OAQ6/gaRynypDSfMwt/9NCP7IwrCTFrAddAYtbbLv0hxV0p6bsnmX+qU+9/sg==" workbookSaltValue="KzQkL8e1I5VnsNBOKp22vA==" workbookSpinCount="100000" lockStructure="1"/>
  <bookViews>
    <workbookView xWindow="0" yWindow="0" windowWidth="28800" windowHeight="12300" tabRatio="937" firstSheet="3" activeTab="7"/>
  </bookViews>
  <sheets>
    <sheet name="Notes" sheetId="38" state="hidden" r:id="rId1"/>
    <sheet name="Changes Made for C18031" sheetId="37" state="hidden" r:id="rId2"/>
    <sheet name="Hide_me(drop_downs)" sheetId="24" state="hidden" r:id="rId3"/>
    <sheet name="Title_Page" sheetId="21" r:id="rId4"/>
    <sheet name="Table_1_UK" sheetId="9" r:id="rId5"/>
    <sheet name="Table_3_UK" sheetId="10" r:id="rId6"/>
    <sheet name="Table_3_Scotland" sheetId="22" r:id="rId7"/>
    <sheet name="Table_4_UK" sheetId="11" r:id="rId8"/>
    <sheet name="Table_5_UK" sheetId="2" r:id="rId9"/>
    <sheet name="Table_6_UK" sheetId="17" r:id="rId10"/>
    <sheet name="Table_7_UK" sheetId="14" r:id="rId11"/>
    <sheet name="Table_7_Wales" sheetId="15" r:id="rId12"/>
    <sheet name="Table_7_Scotland" sheetId="19" r:id="rId13"/>
    <sheet name="Table_7_N_Ireland" sheetId="18" r:id="rId14"/>
    <sheet name="Table_8_UK" sheetId="3" r:id="rId15"/>
    <sheet name="Table_9_UK" sheetId="7" r:id="rId16"/>
    <sheet name="Table_10_UK" sheetId="28" r:id="rId17"/>
    <sheet name="Table_11_UK" sheetId="31" r:id="rId18"/>
    <sheet name="Table_12_UK" sheetId="30" r:id="rId19"/>
    <sheet name="Table_13_UK" sheetId="32" r:id="rId20"/>
    <sheet name="KFI" sheetId="27" r:id="rId21"/>
  </sheets>
  <definedNames>
    <definedName name="_xlnm.Print_Area" localSheetId="20">KFI!$A$1:$I$13</definedName>
    <definedName name="_xlnm.Print_Area" localSheetId="4">Table_1_UK!$A$1:$M$55</definedName>
    <definedName name="_xlnm.Print_Area" localSheetId="16">Table_10_UK!$A$1:$X$58</definedName>
    <definedName name="_xlnm.Print_Area" localSheetId="17">Table_11_UK!$A$1:$AB$43</definedName>
    <definedName name="_xlnm.Print_Area" localSheetId="5">Table_3_UK!$A$1:$M$65</definedName>
    <definedName name="_xlnm.Print_Area" localSheetId="7">Table_4_UK!$A$1:$M$62</definedName>
    <definedName name="_xlnm.Print_Area" localSheetId="13">Table_7_N_Ireland!$A$1:$H$10</definedName>
    <definedName name="_xlnm.Print_Area" localSheetId="12">Table_7_Scotland!$A$1:$H$13</definedName>
    <definedName name="_xlnm.Print_Area" localSheetId="11">Table_7_Wales!$A$1:$H$16</definedName>
    <definedName name="_xlnm.Print_Area" localSheetId="3">Title_Page!$A$1:$O$226</definedName>
    <definedName name="_xlnm.Print_Titles" localSheetId="18">Table_12_UK!1:22</definedName>
    <definedName name="_xlnm.Print_Titles" localSheetId="8">Table_5_UK!A:G</definedName>
    <definedName name="_xlnm.Print_Titles" localSheetId="3">Title_Page!1:24</definedName>
    <definedName name="Rules">Title_Page!$A$23:$A$229</definedName>
  </definedNames>
  <calcPr calcId="162913"/>
  <fileRecoveryPr autoRecover="0"/>
  <extLst>
    <x:ext xmlns:x="http://schemas.openxmlformats.org/spreadsheetml/2006/main" xmlns:xcalcf="http://schemas.microsoft.com/office/spreadsheetml/2018/calcfeatures" uri="{B58B0392-4F1F-4190-BB64-5DF3571DCE5F}">
      <xcalcf:calcFeatures>
        <xcalcf:feature name="microsoft.com:RD"/>
        <xcalcf:feature name="microsoft.com:FV"/>
      </xcalcf:calcFeatures>
    </x:ext>
  </extLst>
</workbook>
</file>

<file path=xl/calcChain.xml><?xml version="1.0" encoding="utf-8"?>
<calcChain xmlns="http://schemas.openxmlformats.org/spreadsheetml/2006/main">
  <c r="H167" i="21" l="1"/>
  <c r="N167" i="21" s="1"/>
  <c r="I167" i="21"/>
  <c r="H194" i="21"/>
  <c r="O194" i="21" s="1"/>
  <c r="I194" i="21"/>
  <c r="H195" i="21"/>
  <c r="O195" i="21" s="1"/>
  <c r="I195" i="21"/>
  <c r="I199" i="21"/>
  <c r="H200" i="21"/>
  <c r="O200" i="21" s="1"/>
  <c r="H201" i="21"/>
  <c r="O201" i="21" s="1"/>
  <c r="H202" i="21"/>
  <c r="O202" i="21" s="1"/>
  <c r="H203" i="21"/>
  <c r="O203" i="21" s="1"/>
  <c r="H204" i="21"/>
  <c r="O204" i="21" s="1"/>
  <c r="I204" i="21"/>
  <c r="H207" i="21"/>
  <c r="N207" i="21" s="1"/>
  <c r="H208" i="21"/>
  <c r="N208" i="21" s="1"/>
  <c r="I208" i="21"/>
  <c r="H211" i="21"/>
  <c r="N211" i="21" s="1"/>
  <c r="I211" i="21"/>
  <c r="H212" i="21"/>
  <c r="N212" i="21" s="1"/>
  <c r="I212" i="21"/>
  <c r="H213" i="21"/>
  <c r="N213" i="21" s="1"/>
  <c r="I213" i="21"/>
  <c r="H224" i="21"/>
  <c r="I224" i="21"/>
  <c r="H225" i="21"/>
  <c r="I225" i="21"/>
  <c r="H226" i="21"/>
  <c r="I226" i="21"/>
  <c r="H227" i="21"/>
  <c r="I227" i="21"/>
  <c r="H228" i="21"/>
  <c r="I228" i="21"/>
  <c r="H229" i="21"/>
  <c r="I229" i="21"/>
  <c r="Q29" i="2"/>
  <c r="AE29" i="2" s="1"/>
  <c r="Q30" i="2"/>
  <c r="AE30" i="2" s="1"/>
  <c r="Q31" i="2"/>
  <c r="AE31" i="2" s="1"/>
  <c r="U51" i="2"/>
  <c r="V51" i="2"/>
  <c r="X51" i="2"/>
  <c r="Y51" i="2"/>
  <c r="Z51" i="2"/>
  <c r="AA51" i="2"/>
  <c r="AB51" i="2"/>
  <c r="AC51" i="2"/>
  <c r="AD51" i="2"/>
  <c r="U59" i="2"/>
  <c r="V59" i="2"/>
  <c r="W59" i="2"/>
  <c r="X59" i="2"/>
  <c r="Y59" i="2"/>
  <c r="Z59" i="2"/>
  <c r="AA59" i="2"/>
  <c r="AB59" i="2"/>
  <c r="AC59" i="2"/>
  <c r="AD59" i="2"/>
  <c r="S9" i="17"/>
  <c r="S10" i="17"/>
  <c r="S11" i="17"/>
  <c r="S15" i="17"/>
  <c r="P16" i="17"/>
  <c r="R16" i="17"/>
  <c r="S18" i="17"/>
  <c r="S19" i="17"/>
  <c r="O23" i="17"/>
  <c r="S24" i="17"/>
  <c r="P25" i="17"/>
  <c r="P27" i="17"/>
  <c r="P29" i="17"/>
  <c r="Q29" i="17"/>
  <c r="P30" i="17"/>
  <c r="Q30" i="17"/>
  <c r="P31" i="17"/>
  <c r="Q31" i="17"/>
  <c r="P32" i="17"/>
  <c r="P33" i="17"/>
  <c r="R33" i="17"/>
  <c r="S38" i="17"/>
  <c r="S39" i="17"/>
  <c r="S40" i="17"/>
  <c r="S41" i="17"/>
  <c r="R44" i="17"/>
  <c r="U49" i="17"/>
  <c r="V49" i="17" s="1"/>
  <c r="U50" i="17"/>
  <c r="V50" i="17" s="1"/>
  <c r="U51" i="17"/>
  <c r="V51" i="17" s="1"/>
  <c r="U52" i="17"/>
  <c r="V52" i="17" s="1"/>
  <c r="U53" i="17"/>
  <c r="V53" i="17" s="1"/>
  <c r="U54" i="17"/>
  <c r="V54" i="17" s="1"/>
  <c r="U55" i="17"/>
  <c r="V55" i="17" s="1"/>
  <c r="O56" i="17"/>
  <c r="S56" i="17"/>
  <c r="T60" i="17"/>
  <c r="U60" i="17"/>
  <c r="V60" i="17" s="1"/>
  <c r="T61" i="17"/>
  <c r="U61" i="17"/>
  <c r="V61" i="17" s="1"/>
  <c r="T63" i="17"/>
  <c r="U63" i="17"/>
  <c r="V63" i="17" s="1"/>
  <c r="T64" i="17"/>
  <c r="U64" i="17"/>
  <c r="V64" i="17" s="1"/>
  <c r="O65" i="17"/>
  <c r="S65" i="17"/>
  <c r="O70" i="17"/>
  <c r="S70" i="17"/>
  <c r="O71" i="17"/>
  <c r="S71" i="17"/>
  <c r="M51" i="3"/>
  <c r="L57" i="3"/>
  <c r="L62" i="3" s="1"/>
  <c r="M57" i="3"/>
  <c r="M62" i="3" s="1"/>
  <c r="O58" i="3"/>
  <c r="O59" i="3"/>
  <c r="H185" i="21" s="1"/>
  <c r="N185" i="21" s="1"/>
  <c r="L67" i="3"/>
  <c r="G7" i="27" s="1"/>
  <c r="M67" i="3"/>
  <c r="N67" i="3"/>
  <c r="L72" i="3"/>
  <c r="M72" i="3"/>
  <c r="N72" i="3"/>
  <c r="L85" i="3"/>
  <c r="L98" i="3" s="1"/>
  <c r="M85" i="3"/>
  <c r="M98" i="3" s="1"/>
  <c r="K103" i="3"/>
  <c r="L103" i="3"/>
  <c r="M103" i="3"/>
  <c r="N103" i="3"/>
  <c r="K105" i="3"/>
  <c r="S6" i="28"/>
  <c r="U6" i="28" s="1"/>
  <c r="V6" i="28"/>
  <c r="X6" i="28" s="1"/>
  <c r="S7" i="28"/>
  <c r="U7" i="28" s="1"/>
  <c r="V7" i="28"/>
  <c r="X7" i="28" s="1"/>
  <c r="S8" i="28"/>
  <c r="U8" i="28" s="1"/>
  <c r="V8" i="28"/>
  <c r="X8" i="28" s="1"/>
  <c r="S9" i="28"/>
  <c r="U9" i="28" s="1"/>
  <c r="V9" i="28"/>
  <c r="X9" i="28" s="1"/>
  <c r="P10" i="28"/>
  <c r="R10" i="28" s="1"/>
  <c r="S10" i="28"/>
  <c r="U10" i="28" s="1"/>
  <c r="V10" i="28"/>
  <c r="X10" i="28" s="1"/>
  <c r="P11" i="28"/>
  <c r="R11" i="28" s="1"/>
  <c r="S11" i="28"/>
  <c r="U11" i="28" s="1"/>
  <c r="V11" i="28"/>
  <c r="X11" i="28" s="1"/>
  <c r="P15" i="28"/>
  <c r="R15" i="28" s="1"/>
  <c r="S15" i="28"/>
  <c r="U15" i="28" s="1"/>
  <c r="V15" i="28"/>
  <c r="X15" i="28" s="1"/>
  <c r="P16" i="28"/>
  <c r="R16" i="28" s="1"/>
  <c r="S16" i="28"/>
  <c r="U16" i="28" s="1"/>
  <c r="V16" i="28"/>
  <c r="X16" i="28" s="1"/>
  <c r="P17" i="28"/>
  <c r="R17" i="28" s="1"/>
  <c r="S17" i="28"/>
  <c r="U17" i="28" s="1"/>
  <c r="V17" i="28"/>
  <c r="X17" i="28" s="1"/>
  <c r="S18" i="28"/>
  <c r="U18" i="28" s="1"/>
  <c r="V18" i="28"/>
  <c r="X18" i="28" s="1"/>
  <c r="P19" i="28"/>
  <c r="R19" i="28" s="1"/>
  <c r="S19" i="28"/>
  <c r="U19" i="28" s="1"/>
  <c r="V19" i="28"/>
  <c r="X19" i="28" s="1"/>
  <c r="S24" i="28"/>
  <c r="U24" i="28" s="1"/>
  <c r="V24" i="28"/>
  <c r="X24" i="28" s="1"/>
  <c r="P25" i="28"/>
  <c r="R25" i="28" s="1"/>
  <c r="S25" i="28"/>
  <c r="U25" i="28" s="1"/>
  <c r="V25" i="28"/>
  <c r="X25" i="28" s="1"/>
  <c r="P26" i="28"/>
  <c r="R26" i="28" s="1"/>
  <c r="S26" i="28"/>
  <c r="U26" i="28" s="1"/>
  <c r="V26" i="28"/>
  <c r="X26" i="28" s="1"/>
  <c r="P27" i="28"/>
  <c r="R27" i="28" s="1"/>
  <c r="S27" i="28"/>
  <c r="U27" i="28" s="1"/>
  <c r="V27" i="28"/>
  <c r="X27" i="28" s="1"/>
  <c r="P32" i="28"/>
  <c r="R32" i="28" s="1"/>
  <c r="S32" i="28"/>
  <c r="U32" i="28" s="1"/>
  <c r="V32" i="28"/>
  <c r="X32" i="28" s="1"/>
  <c r="M33" i="28"/>
  <c r="O33" i="28" s="1"/>
  <c r="P33" i="28"/>
  <c r="R33" i="28" s="1"/>
  <c r="S33" i="28"/>
  <c r="U33" i="28" s="1"/>
  <c r="V33" i="28"/>
  <c r="X33" i="28" s="1"/>
  <c r="S38" i="28"/>
  <c r="U38" i="28" s="1"/>
  <c r="V38" i="28"/>
  <c r="X38" i="28" s="1"/>
  <c r="S39" i="28"/>
  <c r="U39" i="28" s="1"/>
  <c r="V39" i="28"/>
  <c r="X39" i="28" s="1"/>
  <c r="P40" i="28"/>
  <c r="R40" i="28" s="1"/>
  <c r="S40" i="28"/>
  <c r="U40" i="28" s="1"/>
  <c r="V40" i="28"/>
  <c r="X40" i="28" s="1"/>
  <c r="P41" i="28"/>
  <c r="R41" i="28" s="1"/>
  <c r="S41" i="28"/>
  <c r="U41" i="28" s="1"/>
  <c r="V41" i="28"/>
  <c r="X41" i="28" s="1"/>
  <c r="M46" i="28"/>
  <c r="O46" i="28" s="1"/>
  <c r="P46" i="28"/>
  <c r="R46" i="28" s="1"/>
  <c r="S46" i="28"/>
  <c r="U46" i="28" s="1"/>
  <c r="V46" i="28"/>
  <c r="X46" i="28" s="1"/>
  <c r="M47" i="28"/>
  <c r="O47" i="28" s="1"/>
  <c r="P47" i="28"/>
  <c r="R47" i="28" s="1"/>
  <c r="S47" i="28"/>
  <c r="U47" i="28" s="1"/>
  <c r="V47" i="28"/>
  <c r="X47" i="28" s="1"/>
  <c r="M48" i="28"/>
  <c r="O48" i="28" s="1"/>
  <c r="P48" i="28"/>
  <c r="R48" i="28" s="1"/>
  <c r="S48" i="28"/>
  <c r="U48" i="28" s="1"/>
  <c r="V48" i="28"/>
  <c r="X48" i="28" s="1"/>
  <c r="M49" i="28"/>
  <c r="O49" i="28" s="1"/>
  <c r="P49" i="28"/>
  <c r="R49" i="28" s="1"/>
  <c r="S49" i="28"/>
  <c r="U49" i="28" s="1"/>
  <c r="V49" i="28"/>
  <c r="X49" i="28" s="1"/>
  <c r="M51" i="28"/>
  <c r="O51" i="28" s="1"/>
  <c r="P51" i="28"/>
  <c r="R51" i="28" s="1"/>
  <c r="S51" i="28"/>
  <c r="U51" i="28" s="1"/>
  <c r="V51" i="28"/>
  <c r="X51" i="28" s="1"/>
  <c r="M55" i="28"/>
  <c r="O55" i="28" s="1"/>
  <c r="P55" i="28"/>
  <c r="R55" i="28" s="1"/>
  <c r="S55" i="28"/>
  <c r="U55" i="28" s="1"/>
  <c r="V55" i="28"/>
  <c r="X55" i="28" s="1"/>
  <c r="M56" i="28"/>
  <c r="O56" i="28" s="1"/>
  <c r="P56" i="28"/>
  <c r="R56" i="28" s="1"/>
  <c r="S56" i="28"/>
  <c r="U56" i="28" s="1"/>
  <c r="V56" i="28"/>
  <c r="X56" i="28" s="1"/>
  <c r="S3" i="31"/>
  <c r="U3" i="31"/>
  <c r="W3" i="31"/>
  <c r="Y3" i="31"/>
  <c r="K4" i="31"/>
  <c r="L4" i="31"/>
  <c r="M4" i="31"/>
  <c r="N4" i="31"/>
  <c r="O4" i="31"/>
  <c r="P4" i="31"/>
  <c r="Q4" i="31"/>
  <c r="S4" i="31"/>
  <c r="T4" i="31"/>
  <c r="U4" i="31"/>
  <c r="V4" i="31"/>
  <c r="W4" i="31"/>
  <c r="X4" i="31"/>
  <c r="Y4" i="31"/>
  <c r="Z4" i="31"/>
  <c r="S7" i="31"/>
  <c r="U7" i="31"/>
  <c r="W7" i="31"/>
  <c r="Y7" i="31"/>
  <c r="S8" i="31"/>
  <c r="U8" i="31"/>
  <c r="W8" i="31"/>
  <c r="Y8" i="31"/>
  <c r="P10" i="31"/>
  <c r="Q10" i="31"/>
  <c r="P11" i="31"/>
  <c r="Q11" i="31"/>
  <c r="P12" i="31"/>
  <c r="Q12" i="31"/>
  <c r="P13" i="31"/>
  <c r="Q13" i="31"/>
  <c r="P14" i="31"/>
  <c r="Q14" i="31"/>
  <c r="P15" i="31"/>
  <c r="Q15" i="31"/>
  <c r="P16" i="31"/>
  <c r="I222" i="21" s="1"/>
  <c r="Q16" i="31"/>
  <c r="I223" i="21" s="1"/>
  <c r="P17" i="31"/>
  <c r="Q17" i="31"/>
  <c r="P19" i="31"/>
  <c r="Q19" i="31"/>
  <c r="P20" i="31"/>
  <c r="Q20" i="31"/>
  <c r="P21" i="31"/>
  <c r="Q21" i="31"/>
  <c r="P22" i="31"/>
  <c r="Q22" i="31"/>
  <c r="K23" i="31"/>
  <c r="K33" i="31" s="1"/>
  <c r="L23" i="31"/>
  <c r="L33" i="31" s="1"/>
  <c r="M23" i="31"/>
  <c r="M33" i="31" s="1"/>
  <c r="N23" i="31"/>
  <c r="N33" i="31" s="1"/>
  <c r="O23" i="31"/>
  <c r="O33" i="31" s="1"/>
  <c r="P25" i="31"/>
  <c r="Q25" i="31"/>
  <c r="P26" i="31"/>
  <c r="Q26" i="31"/>
  <c r="P27" i="31"/>
  <c r="Q27" i="31"/>
  <c r="P29" i="31"/>
  <c r="Q29" i="31"/>
  <c r="P30" i="31"/>
  <c r="Q30" i="31"/>
  <c r="P31" i="31"/>
  <c r="Q31" i="31"/>
  <c r="P32" i="31"/>
  <c r="Q32" i="31"/>
  <c r="S35" i="31"/>
  <c r="T35" i="31"/>
  <c r="U35" i="31"/>
  <c r="V35" i="31"/>
  <c r="W35" i="31"/>
  <c r="X35" i="31"/>
  <c r="Y35" i="31"/>
  <c r="Z35" i="31"/>
  <c r="S36" i="31"/>
  <c r="T36" i="31"/>
  <c r="U36" i="31"/>
  <c r="V36" i="31"/>
  <c r="W36" i="31"/>
  <c r="X36" i="31"/>
  <c r="Y36" i="31"/>
  <c r="Z36" i="31"/>
  <c r="AB38" i="31"/>
  <c r="J3" i="30"/>
  <c r="J3" i="32"/>
  <c r="G6" i="27"/>
  <c r="G8" i="27"/>
  <c r="G9" i="27"/>
  <c r="I3" i="32"/>
  <c r="H3" i="32"/>
  <c r="J20" i="30"/>
  <c r="I20" i="30"/>
  <c r="H20" i="30"/>
  <c r="J14" i="30"/>
  <c r="I14" i="30"/>
  <c r="I220" i="21" s="1"/>
  <c r="H14" i="30"/>
  <c r="I219" i="21" s="1"/>
  <c r="I3" i="30"/>
  <c r="H3" i="30"/>
  <c r="J23" i="31"/>
  <c r="J33" i="31" s="1"/>
  <c r="I23" i="31"/>
  <c r="I33" i="31" s="1"/>
  <c r="H23" i="31"/>
  <c r="H33" i="31" s="1"/>
  <c r="J4" i="31"/>
  <c r="I4" i="31"/>
  <c r="H4" i="31"/>
  <c r="M41" i="28"/>
  <c r="O41" i="28" s="1"/>
  <c r="M40" i="28"/>
  <c r="O40" i="28" s="1"/>
  <c r="P39" i="28"/>
  <c r="R39" i="28" s="1"/>
  <c r="M39" i="28"/>
  <c r="O39" i="28" s="1"/>
  <c r="P38" i="28"/>
  <c r="R38" i="28" s="1"/>
  <c r="M38" i="28"/>
  <c r="O38" i="28" s="1"/>
  <c r="M32" i="28"/>
  <c r="O32" i="28" s="1"/>
  <c r="M27" i="28"/>
  <c r="O27" i="28" s="1"/>
  <c r="M26" i="28"/>
  <c r="O26" i="28" s="1"/>
  <c r="M25" i="28"/>
  <c r="O25" i="28" s="1"/>
  <c r="P24" i="28"/>
  <c r="R24" i="28" s="1"/>
  <c r="M24" i="28"/>
  <c r="O24" i="28" s="1"/>
  <c r="M19" i="28"/>
  <c r="O19" i="28" s="1"/>
  <c r="P18" i="28"/>
  <c r="R18" i="28" s="1"/>
  <c r="M18" i="28"/>
  <c r="O18" i="28" s="1"/>
  <c r="M17" i="28"/>
  <c r="O17" i="28" s="1"/>
  <c r="M16" i="28"/>
  <c r="O16" i="28" s="1"/>
  <c r="M15" i="28"/>
  <c r="O15" i="28" s="1"/>
  <c r="M11" i="28"/>
  <c r="O11" i="28" s="1"/>
  <c r="M10" i="28"/>
  <c r="O10" i="28" s="1"/>
  <c r="P9" i="28"/>
  <c r="R9" i="28" s="1"/>
  <c r="M9" i="28"/>
  <c r="O9" i="28" s="1"/>
  <c r="P8" i="28"/>
  <c r="R8" i="28" s="1"/>
  <c r="M8" i="28"/>
  <c r="O8" i="28" s="1"/>
  <c r="P7" i="28"/>
  <c r="R7" i="28" s="1"/>
  <c r="M7" i="28"/>
  <c r="O7" i="28" s="1"/>
  <c r="P6" i="28"/>
  <c r="R6" i="28" s="1"/>
  <c r="M6" i="28"/>
  <c r="O6" i="28" s="1"/>
  <c r="L3" i="28"/>
  <c r="K3" i="28"/>
  <c r="J3" i="28"/>
  <c r="I3" i="28"/>
  <c r="H3" i="28"/>
  <c r="B2" i="28"/>
  <c r="O17" i="7"/>
  <c r="N17" i="7"/>
  <c r="M17" i="7"/>
  <c r="L17" i="7"/>
  <c r="H199" i="21" s="1"/>
  <c r="K17" i="7"/>
  <c r="J17" i="7"/>
  <c r="I17" i="7"/>
  <c r="H15" i="7"/>
  <c r="H14" i="7"/>
  <c r="H11" i="7"/>
  <c r="H10" i="7"/>
  <c r="H7" i="7"/>
  <c r="H6" i="7"/>
  <c r="I103" i="3"/>
  <c r="H103" i="3"/>
  <c r="J102" i="3"/>
  <c r="O102" i="3" s="1"/>
  <c r="J101" i="3"/>
  <c r="O101" i="3" s="1"/>
  <c r="J97" i="3"/>
  <c r="O97" i="3" s="1"/>
  <c r="J96" i="3"/>
  <c r="O96" i="3" s="1"/>
  <c r="J95" i="3"/>
  <c r="O95" i="3" s="1"/>
  <c r="J94" i="3"/>
  <c r="O94" i="3" s="1"/>
  <c r="J93" i="3"/>
  <c r="O93" i="3" s="1"/>
  <c r="J92" i="3"/>
  <c r="O92" i="3" s="1"/>
  <c r="J91" i="3"/>
  <c r="O91" i="3" s="1"/>
  <c r="J90" i="3"/>
  <c r="O90" i="3" s="1"/>
  <c r="J89" i="3"/>
  <c r="O89" i="3" s="1"/>
  <c r="J88" i="3"/>
  <c r="O88" i="3" s="1"/>
  <c r="J87" i="3"/>
  <c r="O87" i="3" s="1"/>
  <c r="J86" i="3"/>
  <c r="O86" i="3" s="1"/>
  <c r="I85" i="3"/>
  <c r="I98" i="3" s="1"/>
  <c r="H85" i="3"/>
  <c r="H98" i="3" s="1"/>
  <c r="J84" i="3"/>
  <c r="O84" i="3" s="1"/>
  <c r="J83" i="3"/>
  <c r="O83" i="3" s="1"/>
  <c r="J82" i="3"/>
  <c r="O82" i="3" s="1"/>
  <c r="J81" i="3"/>
  <c r="O81" i="3" s="1"/>
  <c r="J80" i="3"/>
  <c r="O80" i="3" s="1"/>
  <c r="J79" i="3"/>
  <c r="O79" i="3" s="1"/>
  <c r="J78" i="3"/>
  <c r="O78" i="3" s="1"/>
  <c r="J77" i="3"/>
  <c r="O77" i="3" s="1"/>
  <c r="J76" i="3"/>
  <c r="I72" i="3"/>
  <c r="J71" i="3"/>
  <c r="O71" i="3" s="1"/>
  <c r="J70" i="3"/>
  <c r="O70" i="3" s="1"/>
  <c r="I67" i="3"/>
  <c r="J66" i="3"/>
  <c r="O66" i="3" s="1"/>
  <c r="J65" i="3"/>
  <c r="O65" i="3" s="1"/>
  <c r="J61" i="3"/>
  <c r="O61" i="3" s="1"/>
  <c r="J60" i="3"/>
  <c r="O60" i="3" s="1"/>
  <c r="I57" i="3"/>
  <c r="I62" i="3" s="1"/>
  <c r="H57" i="3"/>
  <c r="J56" i="3"/>
  <c r="O56" i="3" s="1"/>
  <c r="J53" i="3"/>
  <c r="O53" i="3" s="1"/>
  <c r="L51" i="3"/>
  <c r="I51" i="3"/>
  <c r="H51" i="3"/>
  <c r="J50" i="3"/>
  <c r="J49" i="3"/>
  <c r="O49" i="3" s="1"/>
  <c r="J48" i="3"/>
  <c r="J47" i="3"/>
  <c r="O47" i="3" s="1"/>
  <c r="J46" i="3"/>
  <c r="O46" i="3" s="1"/>
  <c r="J45" i="3"/>
  <c r="O45" i="3" s="1"/>
  <c r="J44" i="3"/>
  <c r="O44" i="3" s="1"/>
  <c r="J43" i="3"/>
  <c r="O43" i="3" s="1"/>
  <c r="J42" i="3"/>
  <c r="O42" i="3" s="1"/>
  <c r="J41" i="3"/>
  <c r="I157" i="21" s="1"/>
  <c r="J40" i="3"/>
  <c r="O40" i="3" s="1"/>
  <c r="J39" i="3"/>
  <c r="H155" i="21" s="1"/>
  <c r="J38" i="3"/>
  <c r="O38" i="3" s="1"/>
  <c r="J37" i="3"/>
  <c r="O37" i="3" s="1"/>
  <c r="J36" i="3"/>
  <c r="O36" i="3" s="1"/>
  <c r="J35" i="3"/>
  <c r="O35" i="3" s="1"/>
  <c r="J34" i="3"/>
  <c r="O34" i="3" s="1"/>
  <c r="J33" i="3"/>
  <c r="O33" i="3" s="1"/>
  <c r="J32" i="3"/>
  <c r="O32" i="3" s="1"/>
  <c r="J31" i="3"/>
  <c r="I147" i="21" s="1"/>
  <c r="J30" i="3"/>
  <c r="O30" i="3" s="1"/>
  <c r="J29" i="3"/>
  <c r="I145" i="21" s="1"/>
  <c r="J28" i="3"/>
  <c r="O28" i="3" s="1"/>
  <c r="J27" i="3"/>
  <c r="I143" i="21" s="1"/>
  <c r="J26" i="3"/>
  <c r="O26" i="3" s="1"/>
  <c r="J25" i="3"/>
  <c r="I141" i="21" s="1"/>
  <c r="J24" i="3"/>
  <c r="O24" i="3" s="1"/>
  <c r="J23" i="3"/>
  <c r="O23" i="3" s="1"/>
  <c r="J22" i="3"/>
  <c r="I138" i="21" s="1"/>
  <c r="J21" i="3"/>
  <c r="O21" i="3" s="1"/>
  <c r="J20" i="3"/>
  <c r="O20" i="3" s="1"/>
  <c r="J19" i="3"/>
  <c r="O19" i="3" s="1"/>
  <c r="J18" i="3"/>
  <c r="O18" i="3" s="1"/>
  <c r="J17" i="3"/>
  <c r="O17" i="3" s="1"/>
  <c r="J16" i="3"/>
  <c r="O16" i="3" s="1"/>
  <c r="J15" i="3"/>
  <c r="O15" i="3" s="1"/>
  <c r="J14" i="3"/>
  <c r="I130" i="21" s="1"/>
  <c r="J13" i="3"/>
  <c r="O13" i="3" s="1"/>
  <c r="J12" i="3"/>
  <c r="I128" i="21" s="1"/>
  <c r="J11" i="3"/>
  <c r="O11" i="3" s="1"/>
  <c r="J10" i="3"/>
  <c r="O10" i="3" s="1"/>
  <c r="J9" i="3"/>
  <c r="O9" i="3" s="1"/>
  <c r="J8" i="3"/>
  <c r="O8" i="3" s="1"/>
  <c r="J7" i="3"/>
  <c r="O7" i="3" s="1"/>
  <c r="J6" i="3"/>
  <c r="O6" i="3" s="1"/>
  <c r="H10" i="18"/>
  <c r="H121" i="21" s="1"/>
  <c r="H13" i="19"/>
  <c r="H8" i="14" s="1"/>
  <c r="H15" i="15"/>
  <c r="I119" i="21" s="1"/>
  <c r="H63" i="14"/>
  <c r="I112" i="21" s="1"/>
  <c r="H46" i="14"/>
  <c r="H42" i="14"/>
  <c r="K71" i="17"/>
  <c r="K70" i="17"/>
  <c r="K65" i="17"/>
  <c r="H92" i="21" s="1"/>
  <c r="K56" i="17"/>
  <c r="I97" i="21" s="1"/>
  <c r="T55" i="17"/>
  <c r="T54" i="17"/>
  <c r="T53" i="17"/>
  <c r="T52" i="17"/>
  <c r="T51" i="17"/>
  <c r="T50" i="17"/>
  <c r="T49" i="17"/>
  <c r="Q44" i="17"/>
  <c r="P44" i="17"/>
  <c r="N44" i="17"/>
  <c r="M44" i="17"/>
  <c r="L44" i="17"/>
  <c r="J44" i="17"/>
  <c r="I44" i="17"/>
  <c r="H44" i="17"/>
  <c r="S43" i="17"/>
  <c r="O43" i="17"/>
  <c r="K43" i="17"/>
  <c r="T43" i="17" s="1"/>
  <c r="S42" i="17"/>
  <c r="O42" i="17"/>
  <c r="K42" i="17"/>
  <c r="T42" i="17" s="1"/>
  <c r="O41" i="17"/>
  <c r="K41" i="17"/>
  <c r="T41" i="17" s="1"/>
  <c r="O40" i="17"/>
  <c r="K40" i="17"/>
  <c r="T40" i="17" s="1"/>
  <c r="O39" i="17"/>
  <c r="K39" i="17"/>
  <c r="O38" i="17"/>
  <c r="K38" i="17"/>
  <c r="S37" i="17"/>
  <c r="O37" i="17"/>
  <c r="K37" i="17"/>
  <c r="Q33" i="17"/>
  <c r="N33" i="17"/>
  <c r="M33" i="17"/>
  <c r="L33" i="17"/>
  <c r="J33" i="17"/>
  <c r="I33" i="17"/>
  <c r="H33" i="17"/>
  <c r="R32" i="17"/>
  <c r="Q32" i="17"/>
  <c r="N32" i="17"/>
  <c r="M32" i="17"/>
  <c r="L32" i="17"/>
  <c r="J32" i="17"/>
  <c r="I32" i="17"/>
  <c r="H32" i="17"/>
  <c r="R31" i="17"/>
  <c r="N31" i="17"/>
  <c r="M31" i="17"/>
  <c r="L31" i="17"/>
  <c r="J31" i="17"/>
  <c r="I31" i="17"/>
  <c r="H31" i="17"/>
  <c r="R30" i="17"/>
  <c r="N30" i="17"/>
  <c r="M30" i="17"/>
  <c r="L30" i="17"/>
  <c r="J30" i="17"/>
  <c r="I30" i="17"/>
  <c r="H30" i="17"/>
  <c r="R29" i="17"/>
  <c r="N29" i="17"/>
  <c r="M29" i="17"/>
  <c r="L29" i="17"/>
  <c r="J29" i="17"/>
  <c r="I29" i="17"/>
  <c r="H29" i="17"/>
  <c r="R28" i="17"/>
  <c r="Q28" i="17"/>
  <c r="P28" i="17"/>
  <c r="N28" i="17"/>
  <c r="M28" i="17"/>
  <c r="L28" i="17"/>
  <c r="J28" i="17"/>
  <c r="I28" i="17"/>
  <c r="H28" i="17"/>
  <c r="R27" i="17"/>
  <c r="Q27" i="17"/>
  <c r="N27" i="17"/>
  <c r="M27" i="17"/>
  <c r="L27" i="17"/>
  <c r="J27" i="17"/>
  <c r="I27" i="17"/>
  <c r="H27" i="17"/>
  <c r="R25" i="17"/>
  <c r="Q25" i="17"/>
  <c r="N25" i="17"/>
  <c r="M25" i="17"/>
  <c r="L25" i="17"/>
  <c r="J25" i="17"/>
  <c r="I25" i="17"/>
  <c r="H25" i="17"/>
  <c r="O24" i="17"/>
  <c r="K24" i="17"/>
  <c r="S23" i="17"/>
  <c r="K23" i="17"/>
  <c r="S22" i="17"/>
  <c r="O22" i="17"/>
  <c r="K22" i="17"/>
  <c r="S21" i="17"/>
  <c r="O21" i="17"/>
  <c r="K21" i="17"/>
  <c r="S20" i="17"/>
  <c r="O20" i="17"/>
  <c r="K20" i="17"/>
  <c r="O19" i="17"/>
  <c r="K19" i="17"/>
  <c r="O18" i="17"/>
  <c r="K18" i="17"/>
  <c r="C17" i="17"/>
  <c r="Q16" i="17"/>
  <c r="N16" i="17"/>
  <c r="M16" i="17"/>
  <c r="L16" i="17"/>
  <c r="J16" i="17"/>
  <c r="I16" i="17"/>
  <c r="H16" i="17"/>
  <c r="O15" i="17"/>
  <c r="K15" i="17"/>
  <c r="S14" i="17"/>
  <c r="O14" i="17"/>
  <c r="K14" i="17"/>
  <c r="S13" i="17"/>
  <c r="O13" i="17"/>
  <c r="K13" i="17"/>
  <c r="S12" i="17"/>
  <c r="O12" i="17"/>
  <c r="K12" i="17"/>
  <c r="O11" i="17"/>
  <c r="K11" i="17"/>
  <c r="O10" i="17"/>
  <c r="K10" i="17"/>
  <c r="O9" i="17"/>
  <c r="K9" i="17"/>
  <c r="C8" i="17"/>
  <c r="W5" i="17"/>
  <c r="P3" i="17"/>
  <c r="L3" i="17"/>
  <c r="H3" i="17"/>
  <c r="Q63" i="2"/>
  <c r="AE63" i="2" s="1"/>
  <c r="T59" i="2"/>
  <c r="S59" i="2"/>
  <c r="R59" i="2"/>
  <c r="P59" i="2"/>
  <c r="O59" i="2"/>
  <c r="N59" i="2"/>
  <c r="M59" i="2"/>
  <c r="L59" i="2"/>
  <c r="K59" i="2"/>
  <c r="J59" i="2"/>
  <c r="I59" i="2"/>
  <c r="H59" i="2"/>
  <c r="Q58" i="2"/>
  <c r="AE58" i="2" s="1"/>
  <c r="Q57" i="2"/>
  <c r="AE57" i="2" s="1"/>
  <c r="Q56" i="2"/>
  <c r="AE56" i="2" s="1"/>
  <c r="Q53" i="2"/>
  <c r="AE53" i="2" s="1"/>
  <c r="W51" i="2"/>
  <c r="W61" i="2" s="1"/>
  <c r="H27" i="14" s="1"/>
  <c r="T51" i="2"/>
  <c r="S51" i="2"/>
  <c r="R51" i="2"/>
  <c r="P51" i="2"/>
  <c r="O51" i="2"/>
  <c r="N51" i="2"/>
  <c r="M51" i="2"/>
  <c r="L51" i="2"/>
  <c r="K51" i="2"/>
  <c r="J51" i="2"/>
  <c r="I51" i="2"/>
  <c r="H51" i="2"/>
  <c r="Q50" i="2"/>
  <c r="AE50" i="2" s="1"/>
  <c r="Q49" i="2"/>
  <c r="AE49" i="2" s="1"/>
  <c r="Q48" i="2"/>
  <c r="AE48" i="2" s="1"/>
  <c r="Q47" i="2"/>
  <c r="AE47" i="2" s="1"/>
  <c r="Q46" i="2"/>
  <c r="AE46" i="2" s="1"/>
  <c r="Q45" i="2"/>
  <c r="AE45" i="2" s="1"/>
  <c r="Q44" i="2"/>
  <c r="AE44" i="2" s="1"/>
  <c r="Q43" i="2"/>
  <c r="AE43" i="2" s="1"/>
  <c r="Q42" i="2"/>
  <c r="AE42" i="2" s="1"/>
  <c r="Q41" i="2"/>
  <c r="AE41" i="2" s="1"/>
  <c r="Q40" i="2"/>
  <c r="AE40" i="2" s="1"/>
  <c r="Q39" i="2"/>
  <c r="AE39" i="2" s="1"/>
  <c r="Q38" i="2"/>
  <c r="AE38" i="2" s="1"/>
  <c r="Q37" i="2"/>
  <c r="AE37" i="2" s="1"/>
  <c r="Q36" i="2"/>
  <c r="AE36" i="2" s="1"/>
  <c r="Q35" i="2"/>
  <c r="AE35" i="2" s="1"/>
  <c r="Q34" i="2"/>
  <c r="AE34" i="2" s="1"/>
  <c r="Q33" i="2"/>
  <c r="AE33" i="2" s="1"/>
  <c r="Q32" i="2"/>
  <c r="AE32" i="2" s="1"/>
  <c r="Q28" i="2"/>
  <c r="AE28" i="2" s="1"/>
  <c r="Q27" i="2"/>
  <c r="AE27" i="2" s="1"/>
  <c r="Q26" i="2"/>
  <c r="AE26" i="2" s="1"/>
  <c r="Q25" i="2"/>
  <c r="AE25" i="2" s="1"/>
  <c r="Q24" i="2"/>
  <c r="AE24" i="2" s="1"/>
  <c r="Q23" i="2"/>
  <c r="AE23" i="2" s="1"/>
  <c r="Q22" i="2"/>
  <c r="AE22" i="2" s="1"/>
  <c r="Q21" i="2"/>
  <c r="AE21" i="2" s="1"/>
  <c r="Q20" i="2"/>
  <c r="AE20" i="2" s="1"/>
  <c r="Q19" i="2"/>
  <c r="AE19" i="2" s="1"/>
  <c r="Q18" i="2"/>
  <c r="AE18" i="2" s="1"/>
  <c r="Q17" i="2"/>
  <c r="AE17" i="2" s="1"/>
  <c r="Q16" i="2"/>
  <c r="AE16" i="2" s="1"/>
  <c r="Q15" i="2"/>
  <c r="AE15" i="2" s="1"/>
  <c r="Q14" i="2"/>
  <c r="AE14" i="2" s="1"/>
  <c r="Q13" i="2"/>
  <c r="AE13" i="2" s="1"/>
  <c r="Q12" i="2"/>
  <c r="AE12" i="2" s="1"/>
  <c r="Q11" i="2"/>
  <c r="AE11" i="2" s="1"/>
  <c r="Q10" i="2"/>
  <c r="AE10" i="2" s="1"/>
  <c r="Q9" i="2"/>
  <c r="AE9" i="2" s="1"/>
  <c r="Q8" i="2"/>
  <c r="AE8" i="2" s="1"/>
  <c r="Q7" i="2"/>
  <c r="AE7" i="2" s="1"/>
  <c r="Q6" i="2"/>
  <c r="AE6" i="2" s="1"/>
  <c r="J57" i="11"/>
  <c r="I57" i="11"/>
  <c r="H57" i="11"/>
  <c r="K56" i="11"/>
  <c r="L56" i="11" s="1"/>
  <c r="K55" i="11"/>
  <c r="L55" i="11" s="1"/>
  <c r="K54" i="11"/>
  <c r="L54" i="11" s="1"/>
  <c r="K53" i="11"/>
  <c r="L53" i="11" s="1"/>
  <c r="K52" i="11"/>
  <c r="L52" i="11" s="1"/>
  <c r="K51" i="11"/>
  <c r="L51" i="11" s="1"/>
  <c r="K50" i="11"/>
  <c r="L50" i="11" s="1"/>
  <c r="K49" i="11"/>
  <c r="L49" i="11" s="1"/>
  <c r="K46" i="11"/>
  <c r="L46" i="11" s="1"/>
  <c r="J45" i="11"/>
  <c r="I45" i="11"/>
  <c r="H45" i="11"/>
  <c r="K44" i="11"/>
  <c r="L44" i="11" s="1"/>
  <c r="L43" i="11"/>
  <c r="K43" i="11"/>
  <c r="K42" i="11"/>
  <c r="L42" i="11" s="1"/>
  <c r="K41" i="11"/>
  <c r="L41" i="11" s="1"/>
  <c r="K40" i="11"/>
  <c r="L40" i="11" s="1"/>
  <c r="K39" i="11"/>
  <c r="L39" i="11" s="1"/>
  <c r="K38" i="11"/>
  <c r="L38" i="11" s="1"/>
  <c r="K37" i="11"/>
  <c r="L37" i="11" s="1"/>
  <c r="K36" i="11"/>
  <c r="L36" i="11" s="1"/>
  <c r="K35" i="11"/>
  <c r="L35" i="11" s="1"/>
  <c r="K34" i="11"/>
  <c r="L34" i="11" s="1"/>
  <c r="J31" i="11"/>
  <c r="I31" i="11"/>
  <c r="K29" i="11"/>
  <c r="L29" i="11" s="1"/>
  <c r="K28" i="11"/>
  <c r="L28" i="11" s="1"/>
  <c r="K27" i="11"/>
  <c r="L27" i="11" s="1"/>
  <c r="K26" i="11"/>
  <c r="L26" i="11" s="1"/>
  <c r="K25" i="11"/>
  <c r="L25" i="11" s="1"/>
  <c r="K22" i="11"/>
  <c r="L22" i="11" s="1"/>
  <c r="H21" i="11"/>
  <c r="H20" i="11"/>
  <c r="K20" i="11" s="1"/>
  <c r="L20" i="11" s="1"/>
  <c r="K19" i="11"/>
  <c r="L19" i="11" s="1"/>
  <c r="K18" i="11"/>
  <c r="L18" i="11" s="1"/>
  <c r="K17" i="11"/>
  <c r="L17" i="11" s="1"/>
  <c r="K16" i="11"/>
  <c r="L16" i="11" s="1"/>
  <c r="K15" i="11"/>
  <c r="L15" i="11" s="1"/>
  <c r="K14" i="11"/>
  <c r="L14" i="11" s="1"/>
  <c r="H13" i="11"/>
  <c r="K12" i="11"/>
  <c r="L12" i="11" s="1"/>
  <c r="K11" i="11"/>
  <c r="L11" i="11" s="1"/>
  <c r="K10" i="11"/>
  <c r="L10" i="11" s="1"/>
  <c r="K9" i="11"/>
  <c r="L9" i="11" s="1"/>
  <c r="J3" i="11"/>
  <c r="I3" i="11"/>
  <c r="H3" i="11"/>
  <c r="B2" i="11"/>
  <c r="J20" i="22"/>
  <c r="I20" i="22"/>
  <c r="H20" i="22"/>
  <c r="H59" i="21" s="1"/>
  <c r="N59" i="21" s="1"/>
  <c r="K19" i="22"/>
  <c r="L19" i="22" s="1"/>
  <c r="K18" i="22"/>
  <c r="L18" i="22" s="1"/>
  <c r="K17" i="22"/>
  <c r="L17" i="22" s="1"/>
  <c r="K16" i="22"/>
  <c r="L16" i="22" s="1"/>
  <c r="K15" i="22"/>
  <c r="L15" i="22" s="1"/>
  <c r="J12" i="22"/>
  <c r="I12" i="22"/>
  <c r="I60" i="21" s="1"/>
  <c r="H12" i="22"/>
  <c r="K11" i="22"/>
  <c r="L11" i="22" s="1"/>
  <c r="K10" i="22"/>
  <c r="L10" i="22" s="1"/>
  <c r="K9" i="22"/>
  <c r="L9" i="22" s="1"/>
  <c r="K8" i="22"/>
  <c r="L8" i="22" s="1"/>
  <c r="K7" i="22"/>
  <c r="L7" i="22" s="1"/>
  <c r="J3" i="22"/>
  <c r="I3" i="22"/>
  <c r="H3" i="22"/>
  <c r="M2" i="22"/>
  <c r="K63" i="10"/>
  <c r="L63" i="10" s="1"/>
  <c r="J61" i="10"/>
  <c r="J65" i="10" s="1"/>
  <c r="I61" i="10"/>
  <c r="I65" i="10" s="1"/>
  <c r="H61" i="10"/>
  <c r="K60" i="10"/>
  <c r="L60" i="10" s="1"/>
  <c r="K59" i="10"/>
  <c r="L59" i="10" s="1"/>
  <c r="K57" i="10"/>
  <c r="L57" i="10" s="1"/>
  <c r="K56" i="10"/>
  <c r="L56" i="10" s="1"/>
  <c r="J51" i="10"/>
  <c r="I51" i="10"/>
  <c r="H51" i="10"/>
  <c r="K50" i="10"/>
  <c r="L50" i="10" s="1"/>
  <c r="K49" i="10"/>
  <c r="L49" i="10" s="1"/>
  <c r="J46" i="10"/>
  <c r="I46" i="10"/>
  <c r="H46" i="10"/>
  <c r="K45" i="10"/>
  <c r="L45" i="10" s="1"/>
  <c r="K44" i="10"/>
  <c r="L44" i="10" s="1"/>
  <c r="K43" i="10"/>
  <c r="L43" i="10" s="1"/>
  <c r="K42" i="10"/>
  <c r="L42" i="10" s="1"/>
  <c r="K35" i="10"/>
  <c r="L35" i="10" s="1"/>
  <c r="J33" i="10"/>
  <c r="I33" i="10"/>
  <c r="I49" i="21" s="1"/>
  <c r="H33" i="10"/>
  <c r="H11" i="27" s="1"/>
  <c r="K32" i="10"/>
  <c r="L32" i="10" s="1"/>
  <c r="K31" i="10"/>
  <c r="L31" i="10" s="1"/>
  <c r="K30" i="10"/>
  <c r="L30" i="10" s="1"/>
  <c r="K29" i="10"/>
  <c r="L29" i="10" s="1"/>
  <c r="K28" i="10"/>
  <c r="L28" i="10" s="1"/>
  <c r="K27" i="10"/>
  <c r="L27" i="10" s="1"/>
  <c r="I24" i="10"/>
  <c r="I47" i="21" s="1"/>
  <c r="K23" i="10"/>
  <c r="L23" i="10" s="1"/>
  <c r="K22" i="10"/>
  <c r="L22" i="10" s="1"/>
  <c r="J22" i="10"/>
  <c r="J24" i="10" s="1"/>
  <c r="K19" i="10"/>
  <c r="L19" i="10" s="1"/>
  <c r="K18" i="10"/>
  <c r="L18" i="10" s="1"/>
  <c r="J15" i="10"/>
  <c r="I15" i="10"/>
  <c r="H15" i="10"/>
  <c r="H44" i="21" s="1"/>
  <c r="N44" i="21" s="1"/>
  <c r="K14" i="10"/>
  <c r="L14" i="10" s="1"/>
  <c r="K13" i="10"/>
  <c r="L13" i="10" s="1"/>
  <c r="K12" i="10"/>
  <c r="L12" i="10" s="1"/>
  <c r="K11" i="10"/>
  <c r="L11" i="10" s="1"/>
  <c r="K10" i="10"/>
  <c r="L10" i="10" s="1"/>
  <c r="J9" i="10"/>
  <c r="I9" i="10"/>
  <c r="H9" i="10"/>
  <c r="K8" i="10"/>
  <c r="L8" i="10" s="1"/>
  <c r="K7" i="10"/>
  <c r="L7" i="10" s="1"/>
  <c r="K6" i="10"/>
  <c r="L6" i="10" s="1"/>
  <c r="J3" i="10"/>
  <c r="I3" i="10"/>
  <c r="H3" i="10"/>
  <c r="M2" i="10"/>
  <c r="B2" i="10"/>
  <c r="K52" i="9"/>
  <c r="L52" i="9" s="1"/>
  <c r="K48" i="9"/>
  <c r="L48" i="9" s="1"/>
  <c r="J47" i="9"/>
  <c r="J49" i="9" s="1"/>
  <c r="I47" i="9"/>
  <c r="I49" i="9" s="1"/>
  <c r="H47" i="9"/>
  <c r="H49" i="9" s="1"/>
  <c r="L46" i="9"/>
  <c r="K46" i="9"/>
  <c r="K45" i="9"/>
  <c r="L45" i="9" s="1"/>
  <c r="K44" i="9"/>
  <c r="L44" i="9" s="1"/>
  <c r="K43" i="9"/>
  <c r="L43" i="9" s="1"/>
  <c r="K38" i="9"/>
  <c r="L38" i="9" s="1"/>
  <c r="K37" i="9"/>
  <c r="L37" i="9" s="1"/>
  <c r="K36" i="9"/>
  <c r="L36" i="9" s="1"/>
  <c r="K35" i="9"/>
  <c r="L35" i="9" s="1"/>
  <c r="K31" i="9"/>
  <c r="L31" i="9" s="1"/>
  <c r="K27" i="9"/>
  <c r="L27" i="9" s="1"/>
  <c r="K26" i="9"/>
  <c r="L26" i="9" s="1"/>
  <c r="K25" i="9"/>
  <c r="L25" i="9" s="1"/>
  <c r="K24" i="9"/>
  <c r="L24" i="9" s="1"/>
  <c r="J20" i="9"/>
  <c r="I20" i="9"/>
  <c r="I35" i="21" s="1"/>
  <c r="H20" i="9"/>
  <c r="H34" i="21" s="1"/>
  <c r="N34" i="21" s="1"/>
  <c r="K19" i="9"/>
  <c r="L19" i="9" s="1"/>
  <c r="K18" i="9"/>
  <c r="L18" i="9" s="1"/>
  <c r="K17" i="9"/>
  <c r="L17" i="9" s="1"/>
  <c r="K16" i="9"/>
  <c r="L16" i="9" s="1"/>
  <c r="K15" i="9"/>
  <c r="L15" i="9" s="1"/>
  <c r="J12" i="9"/>
  <c r="I12" i="9"/>
  <c r="H33" i="21" s="1"/>
  <c r="H12" i="9"/>
  <c r="I32" i="21" s="1"/>
  <c r="K11" i="9"/>
  <c r="L11" i="9" s="1"/>
  <c r="K10" i="9"/>
  <c r="L10" i="9" s="1"/>
  <c r="K9" i="9"/>
  <c r="L9" i="9" s="1"/>
  <c r="K8" i="9"/>
  <c r="L8" i="9" s="1"/>
  <c r="K7" i="9"/>
  <c r="L7" i="9" s="1"/>
  <c r="K6" i="9"/>
  <c r="L6" i="9" s="1"/>
  <c r="J3" i="9"/>
  <c r="I3" i="9"/>
  <c r="H3" i="9"/>
  <c r="M2" i="9"/>
  <c r="B2" i="9"/>
  <c r="I111" i="21"/>
  <c r="H111" i="21"/>
  <c r="I107" i="21"/>
  <c r="H107" i="21"/>
  <c r="I103" i="21"/>
  <c r="H103" i="21"/>
  <c r="I77" i="21"/>
  <c r="H77" i="21"/>
  <c r="O77" i="21" s="1"/>
  <c r="I76" i="21"/>
  <c r="H76" i="21"/>
  <c r="N76" i="21" s="1"/>
  <c r="I75" i="21"/>
  <c r="H75" i="21"/>
  <c r="O75" i="21" s="1"/>
  <c r="I74" i="21"/>
  <c r="H74" i="21"/>
  <c r="O74" i="21" s="1"/>
  <c r="I71" i="21"/>
  <c r="H71" i="21"/>
  <c r="O71" i="21" s="1"/>
  <c r="I70" i="21"/>
  <c r="H70" i="21"/>
  <c r="O70" i="21" s="1"/>
  <c r="I69" i="21"/>
  <c r="H69" i="21"/>
  <c r="O69" i="21" s="1"/>
  <c r="I68" i="21"/>
  <c r="H68" i="21"/>
  <c r="O68" i="21" s="1"/>
  <c r="I67" i="21"/>
  <c r="H67" i="21"/>
  <c r="O67" i="21" s="1"/>
  <c r="I66" i="21"/>
  <c r="H66" i="21"/>
  <c r="O66" i="21" s="1"/>
  <c r="I65" i="21"/>
  <c r="H65" i="21"/>
  <c r="O65" i="21" s="1"/>
  <c r="I64" i="21"/>
  <c r="I57" i="21"/>
  <c r="H57" i="21"/>
  <c r="N57" i="21" s="1"/>
  <c r="I55" i="21"/>
  <c r="H55" i="21"/>
  <c r="N55" i="21" s="1"/>
  <c r="I54" i="21"/>
  <c r="H54" i="21"/>
  <c r="N54" i="21" s="1"/>
  <c r="I53" i="21"/>
  <c r="H53" i="21"/>
  <c r="N53" i="21" s="1"/>
  <c r="I52" i="21"/>
  <c r="H52" i="21"/>
  <c r="N52" i="21" s="1"/>
  <c r="I41" i="21"/>
  <c r="H41" i="21"/>
  <c r="N41" i="21" s="1"/>
  <c r="I40" i="21"/>
  <c r="I38" i="21"/>
  <c r="H38" i="21"/>
  <c r="N38" i="21" s="1"/>
  <c r="I37" i="21"/>
  <c r="H37" i="21"/>
  <c r="N37" i="21" s="1"/>
  <c r="I31" i="21"/>
  <c r="H31" i="21"/>
  <c r="N31" i="21" s="1"/>
  <c r="I30" i="21"/>
  <c r="H30" i="21"/>
  <c r="N30" i="21" s="1"/>
  <c r="I29" i="21"/>
  <c r="H29" i="21"/>
  <c r="N29" i="21" s="1"/>
  <c r="I28" i="21"/>
  <c r="H28" i="21"/>
  <c r="N28" i="21" s="1"/>
  <c r="I27" i="21"/>
  <c r="H27" i="21"/>
  <c r="N27" i="21" s="1"/>
  <c r="I26" i="21"/>
  <c r="H26" i="21"/>
  <c r="N26" i="21" s="1"/>
  <c r="B1" i="21"/>
  <c r="H124" i="21" l="1"/>
  <c r="H156" i="21"/>
  <c r="H136" i="21"/>
  <c r="N136" i="21" s="1"/>
  <c r="I148" i="21"/>
  <c r="I129" i="21"/>
  <c r="Y61" i="2"/>
  <c r="I86" i="21" s="1"/>
  <c r="H35" i="21"/>
  <c r="N35" i="21" s="1"/>
  <c r="H137" i="21"/>
  <c r="O137" i="21" s="1"/>
  <c r="I125" i="21"/>
  <c r="K31" i="17"/>
  <c r="T31" i="17" s="1"/>
  <c r="I140" i="21"/>
  <c r="I156" i="21"/>
  <c r="H132" i="21"/>
  <c r="N132" i="21" s="1"/>
  <c r="H144" i="21"/>
  <c r="O144" i="21" s="1"/>
  <c r="H163" i="21"/>
  <c r="N163" i="21" s="1"/>
  <c r="H151" i="21"/>
  <c r="N151" i="21" s="1"/>
  <c r="I163" i="21"/>
  <c r="K9" i="10"/>
  <c r="L9" i="10" s="1"/>
  <c r="J37" i="10"/>
  <c r="J39" i="10" s="1"/>
  <c r="J53" i="10" s="1"/>
  <c r="I127" i="21"/>
  <c r="I132" i="21"/>
  <c r="H139" i="21"/>
  <c r="O139" i="21" s="1"/>
  <c r="I144" i="21"/>
  <c r="I151" i="21"/>
  <c r="H159" i="21"/>
  <c r="N159" i="21" s="1"/>
  <c r="I121" i="21"/>
  <c r="H129" i="21"/>
  <c r="O129" i="21" s="1"/>
  <c r="H135" i="21"/>
  <c r="N135" i="21" s="1"/>
  <c r="H140" i="21"/>
  <c r="N140" i="21" s="1"/>
  <c r="H148" i="21"/>
  <c r="N148" i="21" s="1"/>
  <c r="I155" i="21"/>
  <c r="I159" i="21"/>
  <c r="S30" i="17"/>
  <c r="H60" i="21"/>
  <c r="N60" i="21" s="1"/>
  <c r="Q23" i="31"/>
  <c r="Q33" i="31" s="1"/>
  <c r="H126" i="21"/>
  <c r="N126" i="21" s="1"/>
  <c r="H162" i="21"/>
  <c r="O162" i="21" s="1"/>
  <c r="O53" i="21"/>
  <c r="H122" i="21"/>
  <c r="N122" i="21" s="1"/>
  <c r="I162" i="21"/>
  <c r="O29" i="17"/>
  <c r="I134" i="21"/>
  <c r="K12" i="22"/>
  <c r="O14" i="3"/>
  <c r="H215" i="21"/>
  <c r="N215" i="21" s="1"/>
  <c r="U61" i="2"/>
  <c r="H25" i="14" s="1"/>
  <c r="O207" i="21"/>
  <c r="H104" i="21"/>
  <c r="O104" i="21" s="1"/>
  <c r="H108" i="21"/>
  <c r="N108" i="21" s="1"/>
  <c r="H112" i="21"/>
  <c r="N112" i="21" s="1"/>
  <c r="I122" i="21"/>
  <c r="I126" i="21"/>
  <c r="H130" i="21"/>
  <c r="N130" i="21" s="1"/>
  <c r="I137" i="21"/>
  <c r="H161" i="21"/>
  <c r="N161" i="21" s="1"/>
  <c r="J59" i="11"/>
  <c r="J62" i="11" s="1"/>
  <c r="H48" i="21"/>
  <c r="N48" i="21" s="1"/>
  <c r="I104" i="21"/>
  <c r="I108" i="21"/>
  <c r="U56" i="17"/>
  <c r="V56" i="17" s="1"/>
  <c r="I48" i="21"/>
  <c r="H153" i="21"/>
  <c r="O153" i="21" s="1"/>
  <c r="K20" i="9"/>
  <c r="K51" i="10"/>
  <c r="L51" i="10" s="1"/>
  <c r="O27" i="21"/>
  <c r="H119" i="21"/>
  <c r="N119" i="21" s="1"/>
  <c r="O22" i="3"/>
  <c r="O41" i="3"/>
  <c r="N195" i="21"/>
  <c r="H138" i="21"/>
  <c r="N138" i="21" s="1"/>
  <c r="I153" i="21"/>
  <c r="H157" i="21"/>
  <c r="N157" i="21" s="1"/>
  <c r="I160" i="21"/>
  <c r="O26" i="21"/>
  <c r="H32" i="21"/>
  <c r="N32" i="21" s="1"/>
  <c r="N71" i="21"/>
  <c r="H123" i="21"/>
  <c r="N123" i="21" s="1"/>
  <c r="J22" i="9"/>
  <c r="J29" i="9" s="1"/>
  <c r="J33" i="9" s="1"/>
  <c r="J40" i="9" s="1"/>
  <c r="P34" i="17"/>
  <c r="P46" i="17" s="1"/>
  <c r="S31" i="17"/>
  <c r="H127" i="21"/>
  <c r="O127" i="21" s="1"/>
  <c r="H134" i="21"/>
  <c r="N134" i="21" s="1"/>
  <c r="S28" i="17"/>
  <c r="S29" i="17"/>
  <c r="O31" i="17"/>
  <c r="U42" i="17"/>
  <c r="V42" i="17" s="1"/>
  <c r="O31" i="21"/>
  <c r="I34" i="21"/>
  <c r="O38" i="21"/>
  <c r="O52" i="21"/>
  <c r="O55" i="21"/>
  <c r="I124" i="21"/>
  <c r="I135" i="21"/>
  <c r="I161" i="21"/>
  <c r="O16" i="17"/>
  <c r="O25" i="17"/>
  <c r="H34" i="17"/>
  <c r="H46" i="17" s="1"/>
  <c r="M34" i="17"/>
  <c r="M46" i="17" s="1"/>
  <c r="O30" i="17"/>
  <c r="K32" i="17"/>
  <c r="T32" i="17" s="1"/>
  <c r="O44" i="17"/>
  <c r="O208" i="21"/>
  <c r="N203" i="21"/>
  <c r="N201" i="21"/>
  <c r="H47" i="21"/>
  <c r="N70" i="21"/>
  <c r="H142" i="21"/>
  <c r="N142" i="21" s="1"/>
  <c r="H146" i="21"/>
  <c r="N146" i="21" s="1"/>
  <c r="H154" i="21"/>
  <c r="O154" i="21" s="1"/>
  <c r="K47" i="9"/>
  <c r="L47" i="9" s="1"/>
  <c r="K15" i="10"/>
  <c r="L15" i="10" s="1"/>
  <c r="J61" i="2"/>
  <c r="H14" i="14" s="1"/>
  <c r="N61" i="2"/>
  <c r="H18" i="14" s="1"/>
  <c r="S61" i="2"/>
  <c r="I81" i="21" s="1"/>
  <c r="AE59" i="2"/>
  <c r="U22" i="17"/>
  <c r="V22" i="17" s="1"/>
  <c r="K29" i="17"/>
  <c r="T29" i="17" s="1"/>
  <c r="AB61" i="2"/>
  <c r="H89" i="21" s="1"/>
  <c r="AD61" i="2"/>
  <c r="I91" i="21" s="1"/>
  <c r="Z61" i="2"/>
  <c r="H30" i="14" s="1"/>
  <c r="O211" i="21"/>
  <c r="N204" i="21"/>
  <c r="O30" i="21"/>
  <c r="O37" i="21"/>
  <c r="N69" i="21"/>
  <c r="N77" i="21"/>
  <c r="H131" i="21"/>
  <c r="N131" i="21" s="1"/>
  <c r="I142" i="21"/>
  <c r="I146" i="21"/>
  <c r="I154" i="21"/>
  <c r="K57" i="11"/>
  <c r="L57" i="11" s="1"/>
  <c r="K61" i="2"/>
  <c r="H15" i="14" s="1"/>
  <c r="O61" i="2"/>
  <c r="H19" i="14" s="1"/>
  <c r="U21" i="17"/>
  <c r="V21" i="17" s="1"/>
  <c r="Q34" i="17"/>
  <c r="Q46" i="17" s="1"/>
  <c r="S44" i="17"/>
  <c r="J57" i="3"/>
  <c r="O57" i="3" s="1"/>
  <c r="I169" i="21"/>
  <c r="N202" i="21"/>
  <c r="X61" i="2"/>
  <c r="H85" i="21" s="1"/>
  <c r="O85" i="21" s="1"/>
  <c r="O212" i="21"/>
  <c r="P23" i="31"/>
  <c r="P33" i="31" s="1"/>
  <c r="N200" i="21"/>
  <c r="N194" i="21"/>
  <c r="L105" i="3"/>
  <c r="H170" i="21" s="1"/>
  <c r="J85" i="3"/>
  <c r="J98" i="3" s="1"/>
  <c r="I185" i="21"/>
  <c r="H62" i="3"/>
  <c r="H105" i="3" s="1"/>
  <c r="M105" i="3"/>
  <c r="H174" i="21" s="1"/>
  <c r="H128" i="21"/>
  <c r="N128" i="21" s="1"/>
  <c r="I136" i="21"/>
  <c r="H141" i="21"/>
  <c r="N141" i="21" s="1"/>
  <c r="H143" i="21"/>
  <c r="N143" i="21" s="1"/>
  <c r="H145" i="21"/>
  <c r="N145" i="21" s="1"/>
  <c r="H147" i="21"/>
  <c r="N147" i="21" s="1"/>
  <c r="H149" i="21"/>
  <c r="O149" i="21" s="1"/>
  <c r="H152" i="21"/>
  <c r="N152" i="21" s="1"/>
  <c r="O12" i="3"/>
  <c r="O25" i="3"/>
  <c r="O27" i="3"/>
  <c r="O29" i="3"/>
  <c r="O31" i="3"/>
  <c r="O39" i="3"/>
  <c r="H133" i="21"/>
  <c r="N133" i="21" s="1"/>
  <c r="I149" i="21"/>
  <c r="I152" i="21"/>
  <c r="H125" i="21"/>
  <c r="N125" i="21" s="1"/>
  <c r="I133" i="21"/>
  <c r="H160" i="21"/>
  <c r="O160" i="21" s="1"/>
  <c r="H53" i="14"/>
  <c r="H102" i="21" s="1"/>
  <c r="O92" i="21"/>
  <c r="N92" i="21"/>
  <c r="I92" i="21"/>
  <c r="H97" i="21"/>
  <c r="I34" i="17"/>
  <c r="I46" i="17" s="1"/>
  <c r="J34" i="17"/>
  <c r="J46" i="17" s="1"/>
  <c r="H95" i="21"/>
  <c r="O95" i="21" s="1"/>
  <c r="K30" i="17"/>
  <c r="AC61" i="2"/>
  <c r="H33" i="14" s="1"/>
  <c r="R61" i="2"/>
  <c r="I80" i="21" s="1"/>
  <c r="V61" i="2"/>
  <c r="H84" i="21"/>
  <c r="I84" i="21"/>
  <c r="H61" i="2"/>
  <c r="H12" i="14" s="1"/>
  <c r="L61" i="2"/>
  <c r="H16" i="14" s="1"/>
  <c r="P61" i="2"/>
  <c r="H20" i="14" s="1"/>
  <c r="AE51" i="2"/>
  <c r="N74" i="21"/>
  <c r="K45" i="11"/>
  <c r="L45" i="11" s="1"/>
  <c r="N68" i="21"/>
  <c r="K20" i="22"/>
  <c r="L20" i="22" s="1"/>
  <c r="I43" i="21"/>
  <c r="H43" i="21"/>
  <c r="K61" i="10"/>
  <c r="L61" i="10" s="1"/>
  <c r="H65" i="10"/>
  <c r="H42" i="21" s="1"/>
  <c r="N42" i="21" s="1"/>
  <c r="K46" i="10"/>
  <c r="L46" i="10" s="1"/>
  <c r="H49" i="21"/>
  <c r="I37" i="10"/>
  <c r="I39" i="10" s="1"/>
  <c r="I53" i="10" s="1"/>
  <c r="K33" i="10"/>
  <c r="L33" i="10" s="1"/>
  <c r="O59" i="21"/>
  <c r="H45" i="21"/>
  <c r="I45" i="21"/>
  <c r="O57" i="21"/>
  <c r="O44" i="21"/>
  <c r="O54" i="21"/>
  <c r="K49" i="9"/>
  <c r="L49" i="9" s="1"/>
  <c r="K13" i="11"/>
  <c r="L13" i="11" s="1"/>
  <c r="O35" i="21"/>
  <c r="O34" i="21"/>
  <c r="N75" i="21"/>
  <c r="O41" i="21"/>
  <c r="O28" i="21"/>
  <c r="O29" i="21"/>
  <c r="H40" i="21"/>
  <c r="O40" i="21" s="1"/>
  <c r="I117" i="21"/>
  <c r="I113" i="21"/>
  <c r="H115" i="21"/>
  <c r="H113" i="21"/>
  <c r="I115" i="21"/>
  <c r="H117" i="21"/>
  <c r="H64" i="21"/>
  <c r="N33" i="21"/>
  <c r="O33" i="21"/>
  <c r="L12" i="22"/>
  <c r="I59" i="11"/>
  <c r="I62" i="11" s="1"/>
  <c r="U10" i="17"/>
  <c r="V10" i="17" s="1"/>
  <c r="H62" i="21"/>
  <c r="H94" i="21"/>
  <c r="I139" i="21"/>
  <c r="Q59" i="2"/>
  <c r="U15" i="17"/>
  <c r="V15" i="17" s="1"/>
  <c r="U18" i="17"/>
  <c r="V18" i="17" s="1"/>
  <c r="U20" i="17"/>
  <c r="V20" i="17" s="1"/>
  <c r="O27" i="17"/>
  <c r="R34" i="17"/>
  <c r="R46" i="17" s="1"/>
  <c r="O32" i="17"/>
  <c r="O33" i="17"/>
  <c r="U39" i="17"/>
  <c r="V39" i="17" s="1"/>
  <c r="T39" i="17"/>
  <c r="I105" i="3"/>
  <c r="H210" i="21"/>
  <c r="H206" i="21"/>
  <c r="I206" i="21"/>
  <c r="I210" i="21"/>
  <c r="S32" i="17"/>
  <c r="N111" i="21"/>
  <c r="O111" i="21"/>
  <c r="N137" i="21"/>
  <c r="I221" i="21"/>
  <c r="H221" i="21"/>
  <c r="H61" i="21"/>
  <c r="H63" i="21"/>
  <c r="I95" i="21"/>
  <c r="I33" i="21"/>
  <c r="I44" i="21"/>
  <c r="I59" i="21"/>
  <c r="I61" i="21"/>
  <c r="I62" i="21"/>
  <c r="I63" i="21"/>
  <c r="N66" i="21"/>
  <c r="N67" i="21"/>
  <c r="H93" i="21"/>
  <c r="I94" i="21"/>
  <c r="N103" i="21"/>
  <c r="O103" i="21"/>
  <c r="H120" i="21"/>
  <c r="O122" i="21"/>
  <c r="N124" i="21"/>
  <c r="O124" i="21"/>
  <c r="O136" i="21"/>
  <c r="H150" i="21"/>
  <c r="N156" i="21"/>
  <c r="O156" i="21"/>
  <c r="H158" i="21"/>
  <c r="K12" i="9"/>
  <c r="L12" i="9" s="1"/>
  <c r="H13" i="27"/>
  <c r="H10" i="27"/>
  <c r="L20" i="9"/>
  <c r="K21" i="10"/>
  <c r="L21" i="10" s="1"/>
  <c r="K21" i="11"/>
  <c r="L21" i="11" s="1"/>
  <c r="T61" i="2"/>
  <c r="U9" i="17"/>
  <c r="V9" i="17" s="1"/>
  <c r="U11" i="17"/>
  <c r="V11" i="17" s="1"/>
  <c r="U14" i="17"/>
  <c r="V14" i="17" s="1"/>
  <c r="K16" i="17"/>
  <c r="U24" i="17"/>
  <c r="V24" i="17" s="1"/>
  <c r="K27" i="17"/>
  <c r="K28" i="17"/>
  <c r="O28" i="17"/>
  <c r="K33" i="17"/>
  <c r="J51" i="3"/>
  <c r="I201" i="21"/>
  <c r="H205" i="21"/>
  <c r="I205" i="21"/>
  <c r="I214" i="21"/>
  <c r="H214" i="21"/>
  <c r="N107" i="21"/>
  <c r="O107" i="21"/>
  <c r="N121" i="21"/>
  <c r="O121" i="21"/>
  <c r="N155" i="21"/>
  <c r="O155" i="21"/>
  <c r="I22" i="9"/>
  <c r="I29" i="9" s="1"/>
  <c r="I33" i="9" s="1"/>
  <c r="U12" i="17"/>
  <c r="V12" i="17" s="1"/>
  <c r="U23" i="17"/>
  <c r="V23" i="17" s="1"/>
  <c r="H189" i="21"/>
  <c r="I189" i="21"/>
  <c r="H209" i="21"/>
  <c r="H217" i="21"/>
  <c r="I218" i="21"/>
  <c r="I217" i="21"/>
  <c r="I209" i="21"/>
  <c r="H218" i="21"/>
  <c r="I100" i="21"/>
  <c r="I123" i="21"/>
  <c r="I131" i="21"/>
  <c r="N65" i="21"/>
  <c r="I93" i="21"/>
  <c r="I120" i="21"/>
  <c r="I150" i="21"/>
  <c r="I158" i="21"/>
  <c r="H5" i="27"/>
  <c r="H9" i="27"/>
  <c r="I9" i="27" s="1"/>
  <c r="H8" i="27"/>
  <c r="I8" i="27" s="1"/>
  <c r="H12" i="27"/>
  <c r="H6" i="27"/>
  <c r="I6" i="27" s="1"/>
  <c r="H22" i="9"/>
  <c r="I61" i="2"/>
  <c r="H13" i="14" s="1"/>
  <c r="M61" i="2"/>
  <c r="H17" i="14" s="1"/>
  <c r="Q51" i="2"/>
  <c r="U13" i="17"/>
  <c r="V13" i="17" s="1"/>
  <c r="U19" i="17"/>
  <c r="V19" i="17" s="1"/>
  <c r="K25" i="17"/>
  <c r="N34" i="17"/>
  <c r="N46" i="17" s="1"/>
  <c r="L34" i="17"/>
  <c r="L46" i="17" s="1"/>
  <c r="T37" i="17"/>
  <c r="K44" i="17"/>
  <c r="U37" i="17"/>
  <c r="V37" i="17" s="1"/>
  <c r="U38" i="17"/>
  <c r="V38" i="17" s="1"/>
  <c r="T38" i="17"/>
  <c r="H196" i="21"/>
  <c r="H197" i="21"/>
  <c r="H198" i="21"/>
  <c r="I196" i="21"/>
  <c r="I197" i="21"/>
  <c r="I198" i="21"/>
  <c r="H17" i="7"/>
  <c r="H7" i="27"/>
  <c r="I7" i="27" s="1"/>
  <c r="H166" i="21"/>
  <c r="O50" i="3"/>
  <c r="H188" i="21"/>
  <c r="I188" i="21"/>
  <c r="O199" i="21"/>
  <c r="N199" i="21"/>
  <c r="H216" i="21"/>
  <c r="I216" i="21"/>
  <c r="I202" i="21"/>
  <c r="U40" i="17"/>
  <c r="V40" i="17" s="1"/>
  <c r="N228" i="21"/>
  <c r="O228" i="21"/>
  <c r="N226" i="21"/>
  <c r="O226" i="21"/>
  <c r="N224" i="21"/>
  <c r="O224" i="21"/>
  <c r="H220" i="21"/>
  <c r="I215" i="21"/>
  <c r="O76" i="3"/>
  <c r="O85" i="3" s="1"/>
  <c r="O98" i="3" s="1"/>
  <c r="S33" i="17"/>
  <c r="S16" i="17"/>
  <c r="AA61" i="2"/>
  <c r="H223" i="21"/>
  <c r="H219" i="21"/>
  <c r="U41" i="17"/>
  <c r="V41" i="17" s="1"/>
  <c r="U43" i="17"/>
  <c r="V43" i="17" s="1"/>
  <c r="H164" i="21"/>
  <c r="I164" i="21"/>
  <c r="J67" i="3"/>
  <c r="O67" i="3" s="1"/>
  <c r="J72" i="3"/>
  <c r="O72" i="3" s="1"/>
  <c r="J103" i="3"/>
  <c r="O103" i="3" s="1"/>
  <c r="H186" i="21"/>
  <c r="H193" i="21"/>
  <c r="I186" i="21"/>
  <c r="I193" i="21"/>
  <c r="H190" i="21"/>
  <c r="I190" i="21"/>
  <c r="I203" i="21"/>
  <c r="S25" i="17"/>
  <c r="N229" i="21"/>
  <c r="O229" i="21"/>
  <c r="N227" i="21"/>
  <c r="O227" i="21"/>
  <c r="N225" i="21"/>
  <c r="O225" i="21"/>
  <c r="H222" i="21"/>
  <c r="I166" i="21"/>
  <c r="H165" i="21"/>
  <c r="I165" i="21"/>
  <c r="H187" i="21"/>
  <c r="I187" i="21"/>
  <c r="H191" i="21"/>
  <c r="I191" i="21"/>
  <c r="I200" i="21"/>
  <c r="N105" i="3"/>
  <c r="O48" i="3"/>
  <c r="S27" i="17"/>
  <c r="H180" i="21"/>
  <c r="H182" i="21"/>
  <c r="H184" i="21"/>
  <c r="O213" i="21"/>
  <c r="I184" i="21"/>
  <c r="I180" i="21"/>
  <c r="H169" i="21"/>
  <c r="I182" i="21"/>
  <c r="O167" i="21"/>
  <c r="N129" i="21" l="1"/>
  <c r="O135" i="21"/>
  <c r="O163" i="21"/>
  <c r="N149" i="21"/>
  <c r="H86" i="21"/>
  <c r="O86" i="21" s="1"/>
  <c r="H28" i="14"/>
  <c r="O126" i="21"/>
  <c r="H29" i="14"/>
  <c r="J62" i="3"/>
  <c r="O62" i="3" s="1"/>
  <c r="O159" i="21"/>
  <c r="N162" i="21"/>
  <c r="N154" i="21"/>
  <c r="N95" i="21"/>
  <c r="U31" i="17"/>
  <c r="V31" i="17" s="1"/>
  <c r="O132" i="21"/>
  <c r="H81" i="21"/>
  <c r="O81" i="21" s="1"/>
  <c r="N144" i="21"/>
  <c r="I85" i="21"/>
  <c r="O60" i="21"/>
  <c r="O119" i="21"/>
  <c r="N153" i="21"/>
  <c r="O112" i="21"/>
  <c r="U29" i="17"/>
  <c r="V29" i="17" s="1"/>
  <c r="N139" i="21"/>
  <c r="O148" i="21"/>
  <c r="O138" i="21"/>
  <c r="O134" i="21"/>
  <c r="O130" i="21"/>
  <c r="O125" i="21"/>
  <c r="O147" i="21"/>
  <c r="O145" i="21"/>
  <c r="N127" i="21"/>
  <c r="O215" i="21"/>
  <c r="O140" i="21"/>
  <c r="O108" i="21"/>
  <c r="O151" i="21"/>
  <c r="I102" i="21"/>
  <c r="N104" i="21"/>
  <c r="I110" i="21"/>
  <c r="O123" i="21"/>
  <c r="O48" i="21"/>
  <c r="I87" i="21"/>
  <c r="O128" i="21"/>
  <c r="H80" i="21"/>
  <c r="N80" i="21" s="1"/>
  <c r="H106" i="21"/>
  <c r="H91" i="21"/>
  <c r="O91" i="21" s="1"/>
  <c r="H87" i="21"/>
  <c r="O87" i="21" s="1"/>
  <c r="I106" i="21"/>
  <c r="I174" i="21"/>
  <c r="H22" i="14"/>
  <c r="O161" i="21"/>
  <c r="I89" i="21"/>
  <c r="U30" i="17"/>
  <c r="V30" i="17" s="1"/>
  <c r="H110" i="21"/>
  <c r="N110" i="21" s="1"/>
  <c r="H32" i="14"/>
  <c r="O89" i="21"/>
  <c r="N89" i="21"/>
  <c r="U32" i="17"/>
  <c r="V32" i="17" s="1"/>
  <c r="O157" i="21"/>
  <c r="S34" i="17"/>
  <c r="S46" i="17" s="1"/>
  <c r="S58" i="17" s="1"/>
  <c r="S67" i="17" s="1"/>
  <c r="O146" i="21"/>
  <c r="O142" i="21"/>
  <c r="H23" i="14"/>
  <c r="AE61" i="2"/>
  <c r="I78" i="21" s="1"/>
  <c r="O32" i="21"/>
  <c r="H34" i="14"/>
  <c r="N47" i="21"/>
  <c r="O47" i="21"/>
  <c r="H177" i="21"/>
  <c r="N177" i="21" s="1"/>
  <c r="O131" i="21"/>
  <c r="K65" i="10"/>
  <c r="L65" i="10" s="1"/>
  <c r="H90" i="21"/>
  <c r="O90" i="21" s="1"/>
  <c r="I90" i="21"/>
  <c r="I177" i="21"/>
  <c r="H171" i="21"/>
  <c r="N171" i="21" s="1"/>
  <c r="N160" i="21"/>
  <c r="I171" i="21"/>
  <c r="O42" i="21"/>
  <c r="N85" i="21"/>
  <c r="I170" i="21"/>
  <c r="H176" i="21"/>
  <c r="N176" i="21" s="1"/>
  <c r="I173" i="21"/>
  <c r="H173" i="21"/>
  <c r="N173" i="21" s="1"/>
  <c r="I176" i="21"/>
  <c r="O133" i="21"/>
  <c r="O141" i="21"/>
  <c r="O152" i="21"/>
  <c r="O143" i="21"/>
  <c r="O102" i="21"/>
  <c r="N102" i="21"/>
  <c r="O97" i="21"/>
  <c r="N97" i="21"/>
  <c r="T30" i="17"/>
  <c r="H26" i="14"/>
  <c r="I83" i="21"/>
  <c r="H83" i="21"/>
  <c r="O84" i="21"/>
  <c r="N84" i="21"/>
  <c r="N43" i="21"/>
  <c r="O43" i="21"/>
  <c r="I42" i="21"/>
  <c r="H51" i="21"/>
  <c r="N51" i="21" s="1"/>
  <c r="I51" i="21"/>
  <c r="N49" i="21"/>
  <c r="O49" i="21"/>
  <c r="N45" i="21"/>
  <c r="O45" i="21"/>
  <c r="N40" i="21"/>
  <c r="N219" i="21"/>
  <c r="O219" i="21"/>
  <c r="O198" i="21"/>
  <c r="N198" i="21"/>
  <c r="U44" i="17"/>
  <c r="V44" i="17" s="1"/>
  <c r="H96" i="21"/>
  <c r="I96" i="21"/>
  <c r="U25" i="17"/>
  <c r="V25" i="17" s="1"/>
  <c r="N214" i="21"/>
  <c r="O214" i="21"/>
  <c r="H24" i="14"/>
  <c r="H82" i="21"/>
  <c r="I82" i="21"/>
  <c r="N150" i="21"/>
  <c r="O150" i="21"/>
  <c r="N221" i="21"/>
  <c r="O221" i="21"/>
  <c r="O206" i="21"/>
  <c r="N206" i="21"/>
  <c r="O34" i="17"/>
  <c r="O46" i="17" s="1"/>
  <c r="O58" i="17" s="1"/>
  <c r="O67" i="17" s="1"/>
  <c r="Q61" i="2"/>
  <c r="N117" i="21"/>
  <c r="O117" i="21"/>
  <c r="N169" i="21"/>
  <c r="O169" i="21"/>
  <c r="O191" i="21"/>
  <c r="N191" i="21"/>
  <c r="N165" i="21"/>
  <c r="O165" i="21"/>
  <c r="O193" i="21"/>
  <c r="N193" i="21"/>
  <c r="N223" i="21"/>
  <c r="O223" i="21"/>
  <c r="N166" i="21"/>
  <c r="O166" i="21"/>
  <c r="O197" i="21"/>
  <c r="N197" i="21"/>
  <c r="O51" i="3"/>
  <c r="U28" i="17"/>
  <c r="V28" i="17" s="1"/>
  <c r="T28" i="17"/>
  <c r="U16" i="17"/>
  <c r="V16" i="17" s="1"/>
  <c r="N158" i="21"/>
  <c r="O158" i="21"/>
  <c r="N120" i="21"/>
  <c r="O120" i="21"/>
  <c r="N210" i="21"/>
  <c r="O210" i="21"/>
  <c r="H21" i="14"/>
  <c r="N164" i="21"/>
  <c r="O164" i="21"/>
  <c r="H192" i="21"/>
  <c r="I192" i="21"/>
  <c r="G13" i="27"/>
  <c r="I13" i="27" s="1"/>
  <c r="K20" i="10"/>
  <c r="L20" i="10" s="1"/>
  <c r="H24" i="10"/>
  <c r="I58" i="21"/>
  <c r="I56" i="21"/>
  <c r="H58" i="21"/>
  <c r="N174" i="21"/>
  <c r="O174" i="21"/>
  <c r="N64" i="21"/>
  <c r="O64" i="21"/>
  <c r="N184" i="21"/>
  <c r="O184" i="21"/>
  <c r="N182" i="21"/>
  <c r="O182" i="21"/>
  <c r="H172" i="21"/>
  <c r="H175" i="21"/>
  <c r="H178" i="21"/>
  <c r="I178" i="21"/>
  <c r="I175" i="21"/>
  <c r="I172" i="21"/>
  <c r="O190" i="21"/>
  <c r="N190" i="21"/>
  <c r="O186" i="21"/>
  <c r="N186" i="21"/>
  <c r="H88" i="21"/>
  <c r="I88" i="21"/>
  <c r="H31" i="14"/>
  <c r="O196" i="21"/>
  <c r="N196" i="21"/>
  <c r="G5" i="27"/>
  <c r="I5" i="27" s="1"/>
  <c r="H29" i="9"/>
  <c r="K22" i="9"/>
  <c r="L22" i="9" s="1"/>
  <c r="O189" i="21"/>
  <c r="N189" i="21"/>
  <c r="K34" i="17"/>
  <c r="U27" i="17"/>
  <c r="V27" i="17" s="1"/>
  <c r="T27" i="17"/>
  <c r="I98" i="21"/>
  <c r="N63" i="21"/>
  <c r="O63" i="21"/>
  <c r="O94" i="21"/>
  <c r="N94" i="21"/>
  <c r="N113" i="21"/>
  <c r="O113" i="21"/>
  <c r="N209" i="21"/>
  <c r="O209" i="21"/>
  <c r="N180" i="21"/>
  <c r="O180" i="21"/>
  <c r="O187" i="21"/>
  <c r="N187" i="21"/>
  <c r="N222" i="21"/>
  <c r="O222" i="21"/>
  <c r="N220" i="21"/>
  <c r="O220" i="21"/>
  <c r="N216" i="21"/>
  <c r="O216" i="21"/>
  <c r="O188" i="21"/>
  <c r="N188" i="21"/>
  <c r="N218" i="21"/>
  <c r="O218" i="21"/>
  <c r="N217" i="21"/>
  <c r="O217" i="21"/>
  <c r="I40" i="9"/>
  <c r="I53" i="9"/>
  <c r="O205" i="21"/>
  <c r="N205" i="21"/>
  <c r="U33" i="17"/>
  <c r="V33" i="17" s="1"/>
  <c r="T33" i="17"/>
  <c r="H100" i="21"/>
  <c r="O93" i="21"/>
  <c r="N93" i="21"/>
  <c r="N61" i="21"/>
  <c r="O61" i="21"/>
  <c r="N170" i="21"/>
  <c r="O170" i="21"/>
  <c r="N62" i="21"/>
  <c r="O62" i="21"/>
  <c r="H73" i="21"/>
  <c r="I73" i="21"/>
  <c r="H61" i="11"/>
  <c r="N115" i="21"/>
  <c r="O115" i="21"/>
  <c r="J105" i="3" l="1"/>
  <c r="N86" i="21"/>
  <c r="N87" i="21"/>
  <c r="N81" i="21"/>
  <c r="O171" i="21"/>
  <c r="O80" i="21"/>
  <c r="N106" i="21"/>
  <c r="O106" i="21"/>
  <c r="O176" i="21"/>
  <c r="N91" i="21"/>
  <c r="H78" i="21"/>
  <c r="O78" i="21" s="1"/>
  <c r="O110" i="21"/>
  <c r="O177" i="21"/>
  <c r="O173" i="21"/>
  <c r="N90" i="21"/>
  <c r="O83" i="21"/>
  <c r="N83" i="21"/>
  <c r="O51" i="21"/>
  <c r="H33" i="9"/>
  <c r="K29" i="9"/>
  <c r="L29" i="9" s="1"/>
  <c r="T8" i="17"/>
  <c r="H98" i="21" s="1"/>
  <c r="N172" i="21"/>
  <c r="O172" i="21"/>
  <c r="H35" i="14"/>
  <c r="H179" i="21"/>
  <c r="H181" i="21"/>
  <c r="H183" i="21"/>
  <c r="I179" i="21"/>
  <c r="I183" i="21"/>
  <c r="O105" i="3"/>
  <c r="I181" i="21"/>
  <c r="O96" i="21"/>
  <c r="N96" i="21"/>
  <c r="N175" i="21"/>
  <c r="O175" i="21"/>
  <c r="O100" i="21"/>
  <c r="N100" i="21"/>
  <c r="N58" i="21"/>
  <c r="O58" i="21"/>
  <c r="G11" i="27"/>
  <c r="I11" i="27" s="1"/>
  <c r="K24" i="10"/>
  <c r="L24" i="10" s="1"/>
  <c r="I46" i="21"/>
  <c r="H37" i="10"/>
  <c r="H46" i="21"/>
  <c r="O192" i="21"/>
  <c r="N192" i="21"/>
  <c r="H99" i="21"/>
  <c r="I99" i="21"/>
  <c r="O82" i="21"/>
  <c r="N82" i="21"/>
  <c r="O73" i="21"/>
  <c r="N73" i="21"/>
  <c r="U34" i="17"/>
  <c r="V34" i="17" s="1"/>
  <c r="K46" i="17"/>
  <c r="K61" i="11"/>
  <c r="L61" i="11" s="1"/>
  <c r="O88" i="21"/>
  <c r="N88" i="21"/>
  <c r="N178" i="21"/>
  <c r="O178" i="21"/>
  <c r="H56" i="21"/>
  <c r="I79" i="21"/>
  <c r="H79" i="21"/>
  <c r="N78" i="21" l="1"/>
  <c r="I168" i="21"/>
  <c r="H168" i="21"/>
  <c r="N46" i="21"/>
  <c r="O46" i="21"/>
  <c r="N179" i="21"/>
  <c r="O179" i="21"/>
  <c r="O99" i="21"/>
  <c r="N99" i="21"/>
  <c r="I118" i="21"/>
  <c r="I116" i="21"/>
  <c r="I114" i="21"/>
  <c r="H118" i="21"/>
  <c r="H116" i="21"/>
  <c r="H114" i="21"/>
  <c r="N56" i="21"/>
  <c r="O56" i="21"/>
  <c r="U46" i="17"/>
  <c r="V46" i="17" s="1"/>
  <c r="K58" i="17"/>
  <c r="K67" i="17" s="1"/>
  <c r="H6" i="14" s="1"/>
  <c r="K37" i="10"/>
  <c r="L37" i="10" s="1"/>
  <c r="H39" i="10"/>
  <c r="N183" i="21"/>
  <c r="O183" i="21"/>
  <c r="O98" i="21"/>
  <c r="N98" i="21"/>
  <c r="O79" i="21"/>
  <c r="N79" i="21"/>
  <c r="N181" i="21"/>
  <c r="O181" i="21"/>
  <c r="H53" i="9"/>
  <c r="K33" i="9"/>
  <c r="L33" i="9" s="1"/>
  <c r="H6" i="11"/>
  <c r="H40" i="9"/>
  <c r="N168" i="21" l="1"/>
  <c r="O168" i="21"/>
  <c r="H31" i="11"/>
  <c r="K6" i="11"/>
  <c r="L6" i="11" s="1"/>
  <c r="N116" i="21"/>
  <c r="O116" i="21"/>
  <c r="H53" i="10"/>
  <c r="K39" i="10"/>
  <c r="L39" i="10" s="1"/>
  <c r="N118" i="21"/>
  <c r="O118" i="21"/>
  <c r="N114" i="21"/>
  <c r="O114" i="21"/>
  <c r="K40" i="9"/>
  <c r="L40" i="9" s="1"/>
  <c r="H39" i="21"/>
  <c r="I39" i="21"/>
  <c r="I36" i="21"/>
  <c r="H36" i="21"/>
  <c r="K53" i="9"/>
  <c r="L53" i="9" s="1"/>
  <c r="I101" i="21"/>
  <c r="H105" i="21"/>
  <c r="H101" i="21"/>
  <c r="H57" i="14"/>
  <c r="H65" i="14" s="1"/>
  <c r="I109" i="21"/>
  <c r="I105" i="21"/>
  <c r="H109" i="21"/>
  <c r="G10" i="27" l="1"/>
  <c r="I10" i="27" s="1"/>
  <c r="I50" i="21"/>
  <c r="K53" i="10"/>
  <c r="L53" i="10" s="1"/>
  <c r="H50" i="21"/>
  <c r="O101" i="21"/>
  <c r="N101" i="21"/>
  <c r="N39" i="21"/>
  <c r="O39" i="21"/>
  <c r="N109" i="21"/>
  <c r="O109" i="21"/>
  <c r="N105" i="21"/>
  <c r="O105" i="21"/>
  <c r="N36" i="21"/>
  <c r="O36" i="21"/>
  <c r="G12" i="27"/>
  <c r="I12" i="27" s="1"/>
  <c r="H59" i="11"/>
  <c r="K31" i="11"/>
  <c r="L31" i="11" s="1"/>
  <c r="K59" i="11" l="1"/>
  <c r="L59" i="11" s="1"/>
  <c r="H62" i="11"/>
  <c r="N50" i="21"/>
  <c r="O50" i="21"/>
  <c r="K62" i="11" l="1"/>
  <c r="L62" i="11" s="1"/>
  <c r="H72" i="21"/>
  <c r="I72" i="21"/>
  <c r="N72" i="21" l="1"/>
  <c r="D2" i="21" s="1"/>
  <c r="O72" i="21"/>
  <c r="D3" i="21" s="1"/>
</calcChain>
</file>

<file path=xl/sharedStrings.xml><?xml version="1.0" encoding="utf-8"?>
<sst xmlns="http://schemas.openxmlformats.org/spreadsheetml/2006/main" count="3071" uniqueCount="1677">
  <si>
    <t>Prepopulated Tables</t>
  </si>
  <si>
    <t>Questions</t>
  </si>
  <si>
    <t>Table 1</t>
  </si>
  <si>
    <t>Do we need country specific Table 6 now?</t>
  </si>
  <si>
    <t>Table 2</t>
  </si>
  <si>
    <t>Do the Main Heads &amp; Sub Heads need to be in a certain column?</t>
  </si>
  <si>
    <t>Table 3</t>
  </si>
  <si>
    <t>Can we hide the Table 3 &amp; Table 7 country specific tables (like the Table 6 countries)?</t>
  </si>
  <si>
    <t>Table 3S</t>
  </si>
  <si>
    <t>Need to look at variance figures to use</t>
  </si>
  <si>
    <t>Table 4</t>
  </si>
  <si>
    <t>Potentially Table 6 for C18031</t>
  </si>
  <si>
    <t>Table 10</t>
  </si>
  <si>
    <t>Links between tables</t>
  </si>
  <si>
    <t>Feeds into</t>
  </si>
  <si>
    <t>Table 5</t>
  </si>
  <si>
    <t>Table 7</t>
  </si>
  <si>
    <t>Table 6</t>
  </si>
  <si>
    <t>Table 7 (Countries)</t>
  </si>
  <si>
    <t>Table 11</t>
  </si>
  <si>
    <t>There are hidden formulas in columns to the right of the template that converts the date format and is used in the keys template</t>
  </si>
  <si>
    <t>Year References</t>
  </si>
  <si>
    <t>Column headings with the following names have a formula link to the Hide_me hidden sheet so they are updated in one go:</t>
  </si>
  <si>
    <r>
      <rPr>
        <sz val="11"/>
        <color theme="1"/>
        <rFont val="Calibri"/>
        <family val="2"/>
      </rPr>
      <t xml:space="preserve">- Year ended 31 July </t>
    </r>
    <r>
      <rPr>
        <b/>
        <sz val="11"/>
        <color theme="1"/>
        <rFont val="Calibri"/>
        <family val="2"/>
      </rPr>
      <t>20xx</t>
    </r>
  </si>
  <si>
    <r>
      <rPr>
        <sz val="11"/>
        <color theme="1"/>
        <rFont val="Calibri"/>
        <family val="2"/>
      </rPr>
      <t xml:space="preserve"> - as at 31 July </t>
    </r>
    <r>
      <rPr>
        <b/>
        <sz val="11"/>
        <color theme="1"/>
        <rFont val="Calibri"/>
        <family val="2"/>
      </rPr>
      <t>20xx</t>
    </r>
  </si>
  <si>
    <r>
      <rPr>
        <sz val="11"/>
        <color theme="1"/>
        <rFont val="Calibri"/>
        <family val="2"/>
      </rPr>
      <t xml:space="preserve"> - Variance (</t>
    </r>
    <r>
      <rPr>
        <b/>
        <sz val="11"/>
        <color theme="1"/>
        <rFont val="Calibri"/>
        <family val="2"/>
      </rPr>
      <t>2018</t>
    </r>
    <r>
      <rPr>
        <sz val="11"/>
        <color theme="1"/>
        <rFont val="Calibri"/>
        <family val="2"/>
      </rPr>
      <t>/</t>
    </r>
    <r>
      <rPr>
        <b/>
        <sz val="11"/>
        <color theme="1"/>
        <rFont val="Calibri"/>
        <family val="2"/>
      </rPr>
      <t>19</t>
    </r>
    <r>
      <rPr>
        <sz val="11"/>
        <color theme="1"/>
        <rFont val="Calibri"/>
        <family val="2"/>
      </rPr>
      <t xml:space="preserve"> v. </t>
    </r>
    <r>
      <rPr>
        <b/>
        <sz val="11"/>
        <color theme="1"/>
        <rFont val="Calibri"/>
        <family val="2"/>
      </rPr>
      <t>2017</t>
    </r>
    <r>
      <rPr>
        <sz val="11"/>
        <color theme="1"/>
        <rFont val="Calibri"/>
        <family val="2"/>
      </rPr>
      <t>/</t>
    </r>
    <r>
      <rPr>
        <b/>
        <sz val="11"/>
        <color theme="1"/>
        <rFont val="Calibri"/>
        <family val="2"/>
      </rPr>
      <t>18</t>
    </r>
    <r>
      <rPr>
        <sz val="11"/>
        <color theme="1"/>
        <rFont val="Calibri"/>
        <family val="2"/>
      </rPr>
      <t xml:space="preserve"> restated)</t>
    </r>
  </si>
  <si>
    <t>Table Formatting</t>
  </si>
  <si>
    <t>Main Heads = Column B</t>
  </si>
  <si>
    <t>Sub Heads = Column C</t>
  </si>
  <si>
    <t>Changes from C17031 (Removing England references &amp; general changes):</t>
  </si>
  <si>
    <t>Date</t>
  </si>
  <si>
    <t>Table Changed</t>
  </si>
  <si>
    <t>Head/Rule Changed</t>
  </si>
  <si>
    <t>Change Made</t>
  </si>
  <si>
    <t>Title_Page</t>
  </si>
  <si>
    <t>QR.C17031.Table6.3</t>
  </si>
  <si>
    <t>Rule deleted (England only)</t>
  </si>
  <si>
    <t>QR.C17031.Table7E.1</t>
  </si>
  <si>
    <t>QR.C17031.Table7E.2</t>
  </si>
  <si>
    <t>QR.C17031.Table9.11</t>
  </si>
  <si>
    <t>QR.C17031.Table11.3</t>
  </si>
  <si>
    <t>Year updated in the rule name &amp; formula updated</t>
  </si>
  <si>
    <t>QR.C17031.Table11.5</t>
  </si>
  <si>
    <t>QR.C17031.Table11.6</t>
  </si>
  <si>
    <t>QR.C17031.Table12.3</t>
  </si>
  <si>
    <t>QR.C17031.Table12.4</t>
  </si>
  <si>
    <t>Rule deleted (No England FTE totals)</t>
  </si>
  <si>
    <t>QR.C17031.Table12.5</t>
  </si>
  <si>
    <t>QR.C17031.Table12.6</t>
  </si>
  <si>
    <t>Amended rule name (deleted FTE reference) and amended formula to remove Column G &amp; H references</t>
  </si>
  <si>
    <t>QR.C17031.Table13.2</t>
  </si>
  <si>
    <t>Year updated in the rule name</t>
  </si>
  <si>
    <t>QR.C17031.Table13.4</t>
  </si>
  <si>
    <t>Amended rule name (deleted Head 3 reference) and amended formula to remove Head 3 references</t>
  </si>
  <si>
    <t>QR.C17031.Table13.5</t>
  </si>
  <si>
    <t>QR.C17031.Table13.6</t>
  </si>
  <si>
    <t>Deleted rule</t>
  </si>
  <si>
    <t>All tables</t>
  </si>
  <si>
    <t>Updated year references (including automatic year lookups where possible i.e. master dates stored in the Hide_me sheet)</t>
  </si>
  <si>
    <t>Table_6_England</t>
  </si>
  <si>
    <t>Deleted table (England)</t>
  </si>
  <si>
    <t>Table_6_UK</t>
  </si>
  <si>
    <t>Heads 1a and 1b</t>
  </si>
  <si>
    <t>Removed formulas in columns H, I, J, L, M, N (Generic table now England removed)</t>
  </si>
  <si>
    <t>Head 1c</t>
  </si>
  <si>
    <t>Removed formula (Generic heading now England removed)</t>
  </si>
  <si>
    <t>Added formulas to sum Heads 1a &amp; 1b into columns H, I, J, L, M, N (Generic table now England removed)</t>
  </si>
  <si>
    <t>Table_6_Scotland</t>
  </si>
  <si>
    <t>Spelling mistakes corrected (Domicile)</t>
  </si>
  <si>
    <t>Table_6_Wales</t>
  </si>
  <si>
    <t>Head 1a</t>
  </si>
  <si>
    <t>Head 1b</t>
  </si>
  <si>
    <t>Correction to heading (space added after the England name in brackets)</t>
  </si>
  <si>
    <t>Table_7_England</t>
  </si>
  <si>
    <t>Table_7_UK</t>
  </si>
  <si>
    <t>Head 2</t>
  </si>
  <si>
    <t>Deleted England in the formula</t>
  </si>
  <si>
    <t>Table_12_UK</t>
  </si>
  <si>
    <t>Head 3</t>
  </si>
  <si>
    <t>Deleted columns G and H (FTE England only)</t>
  </si>
  <si>
    <t>Table_13_UK</t>
  </si>
  <si>
    <t>Deleted (England only section)</t>
  </si>
  <si>
    <t>Renamed to Head 2 (now Enland section removed)</t>
  </si>
  <si>
    <t>Head 1 and Head 2</t>
  </si>
  <si>
    <t>Deleted names in brackets (Generic table now England removed)</t>
  </si>
  <si>
    <t>QR.C17031.Table7W.1 (Cell H113)</t>
  </si>
  <si>
    <t>Removed reference to England (E) from the formula</t>
  </si>
  <si>
    <t>QR.C17031.Table7S.1 (Cell H114)</t>
  </si>
  <si>
    <t>QR.C17031.Table7N.1 (Cell H115)</t>
  </si>
  <si>
    <t>QR.C17031.Table13.3</t>
  </si>
  <si>
    <t>Amended formula to remove Head 3 references</t>
  </si>
  <si>
    <t>Hide_me(drop_downs)</t>
  </si>
  <si>
    <t>Year references added here as a master, therefore individual tables link to these dates to automatically update</t>
  </si>
  <si>
    <t>Heads 9a &amp; 9b</t>
  </si>
  <si>
    <t>Headings moved from column D to column C</t>
  </si>
  <si>
    <t>Heads 16a, b, c, d, e &amp; f</t>
  </si>
  <si>
    <t>Head 16g</t>
  </si>
  <si>
    <t>Heading moved from column C to column B</t>
  </si>
  <si>
    <t>Heads 2a, b, c &amp; d</t>
  </si>
  <si>
    <t>Head 2e</t>
  </si>
  <si>
    <t>Heads 4a, b, c &amp; d</t>
  </si>
  <si>
    <t>Head 4e</t>
  </si>
  <si>
    <t>Removed references to England (E) from the formula &amp; corrected spelling for 'domicile'</t>
  </si>
  <si>
    <t>Table_6_(NI, Scotland, Wales)</t>
  </si>
  <si>
    <t>Deleted tables</t>
  </si>
  <si>
    <t>Formatting Heads in correct columns, seperating out £000's from column Heads</t>
  </si>
  <si>
    <t>Table 12</t>
  </si>
  <si>
    <t>Added pre-populated column into table (column J) &amp; added text in cells I1 &amp; I2</t>
  </si>
  <si>
    <t>Table 13</t>
  </si>
  <si>
    <t>Heads 10a, 10b, 11a. 11b, 13</t>
  </si>
  <si>
    <t>Removed link to table 2</t>
  </si>
  <si>
    <t>Deleted table</t>
  </si>
  <si>
    <t>Table2.1, 2.2 &amp; 2.3</t>
  </si>
  <si>
    <t>Rules deleted</t>
  </si>
  <si>
    <t>Removed Head 9a, 9b &amp; 9c</t>
  </si>
  <si>
    <t>Removed sub heads and replaced with 1 Taxation line</t>
  </si>
  <si>
    <t>Table1.11</t>
  </si>
  <si>
    <t>Rule deleted as only 1 Taxation line</t>
  </si>
  <si>
    <t>Table1.16 &amp; 1.17</t>
  </si>
  <si>
    <t>Formula amended as only 1 Taxation line</t>
  </si>
  <si>
    <t>Head 10</t>
  </si>
  <si>
    <t>Formula changed</t>
  </si>
  <si>
    <t>Added a sub Head (Accrued course fees) &amp; renumbered heads below</t>
  </si>
  <si>
    <t>Table3.1, 2, 5, 6, 7, 8, 9, 10. 15 &amp; 3.16, Table1.15</t>
  </si>
  <si>
    <t>Formulas amended</t>
  </si>
  <si>
    <t>Added a sub Head (Deferred course fees) &amp; renumbered heads below</t>
  </si>
  <si>
    <t>Rows 2 and 4</t>
  </si>
  <si>
    <t>Acronymns changed for full names</t>
  </si>
  <si>
    <t>Column O</t>
  </si>
  <si>
    <t>Extra column added to match OfS template (UK Research and Innovation)</t>
  </si>
  <si>
    <t>Table5.1 to 5.14, Table4.7, 4.8, 4.12</t>
  </si>
  <si>
    <t>Rows 5</t>
  </si>
  <si>
    <t>Acronymns changed for full names and WEDS replaced with HEIW</t>
  </si>
  <si>
    <t>Heads 6a and 6b</t>
  </si>
  <si>
    <t>Head names changed</t>
  </si>
  <si>
    <t>Head 4a</t>
  </si>
  <si>
    <t>Extra sub Head added (EU sources)</t>
  </si>
  <si>
    <t>Renamed</t>
  </si>
  <si>
    <t>Table7.2, 3, 4, 6, 7, 8, 10, 11, 12</t>
  </si>
  <si>
    <t>Change in Head name</t>
  </si>
  <si>
    <t>Table11.8 &amp; 11.9</t>
  </si>
  <si>
    <t>Changed formula (swapped 'W' for 'E' to keep formula structure just in case it needs to change back)</t>
  </si>
  <si>
    <t>Head 1</t>
  </si>
  <si>
    <t>Added Head 1 name and added extra sub heads for pension costs by scheme</t>
  </si>
  <si>
    <t>Table12.1, 2 &amp; 6</t>
  </si>
  <si>
    <t>Name changed</t>
  </si>
  <si>
    <t>Head 5</t>
  </si>
  <si>
    <t>Added 2 extra rows</t>
  </si>
  <si>
    <t>KFI</t>
  </si>
  <si>
    <t>KFI5 &amp; KFI7</t>
  </si>
  <si>
    <t>Formulas changed</t>
  </si>
  <si>
    <t>List for Table 11 &amp; 13</t>
  </si>
  <si>
    <t>Year ended 31 July 2019</t>
  </si>
  <si>
    <t>Year ended 31 July 2018</t>
  </si>
  <si>
    <t>Yes</t>
  </si>
  <si>
    <t>No</t>
  </si>
  <si>
    <t>as at 31 July 2019</t>
  </si>
  <si>
    <t>List for variance explanation</t>
  </si>
  <si>
    <t>Variance (2018/19 v. 2017/18 restated)</t>
  </si>
  <si>
    <t>New/ended business activity</t>
  </si>
  <si>
    <t>Expected increase/decrease in growth</t>
  </si>
  <si>
    <t>One off event</t>
  </si>
  <si>
    <t>Accounting treatment</t>
  </si>
  <si>
    <t>Other</t>
  </si>
  <si>
    <t>Country</t>
  </si>
  <si>
    <t>N</t>
  </si>
  <si>
    <t>S</t>
  </si>
  <si>
    <t>W</t>
  </si>
  <si>
    <t>E</t>
  </si>
  <si>
    <t xml:space="preserve">2018-19 HESA Finance record - </t>
  </si>
  <si>
    <t>Version:</t>
  </si>
  <si>
    <t>Provider name:</t>
  </si>
  <si>
    <t>The University of Edinburgh</t>
  </si>
  <si>
    <t>Errors:</t>
  </si>
  <si>
    <t>UKPRN:</t>
  </si>
  <si>
    <t>10007790</t>
  </si>
  <si>
    <t>Warnings:</t>
  </si>
  <si>
    <t>Country:</t>
  </si>
  <si>
    <t>RECID:</t>
  </si>
  <si>
    <t xml:space="preserve">The Finance record is split over separate worksheet tabs with one table per tab. Some tabs are specific to the location of the provider. All relevant tables must be completed.
</t>
  </si>
  <si>
    <t>Please note that when restating figures the cell colour will change to show that the figure is different from that returned to HESA last year.</t>
  </si>
  <si>
    <t>Some of these rules are exempted by switches applicable to individual providers</t>
  </si>
  <si>
    <t>For information on current exemptions please contact Institutional Liaison:</t>
  </si>
  <si>
    <r>
      <rPr>
        <sz val="10"/>
        <color rgb="FF000000"/>
        <rFont val="Arial"/>
        <family val="2"/>
      </rPr>
      <t xml:space="preserve">Email: </t>
    </r>
    <r>
      <rPr>
        <u/>
        <sz val="11"/>
        <color indexed="12"/>
        <rFont val="Arial"/>
        <family val="2"/>
      </rPr>
      <t>liaison@hesa.ac.uk</t>
    </r>
  </si>
  <si>
    <t>Telephone: 01242 211144</t>
  </si>
  <si>
    <t>Help for completing the record and COMMIT-stage validation can be found at:</t>
  </si>
  <si>
    <t>General Guidance to Tables and COMMIT-stage validation</t>
  </si>
  <si>
    <t>HESA Specific Rules</t>
  </si>
  <si>
    <t>Rule number</t>
  </si>
  <si>
    <t>Rule wording</t>
  </si>
  <si>
    <t>Cell reference</t>
  </si>
  <si>
    <t>Status</t>
  </si>
  <si>
    <t>Result</t>
  </si>
  <si>
    <t>hide this column</t>
  </si>
  <si>
    <t>QR.C18031.Table1.1</t>
  </si>
  <si>
    <t>Tuition fees and education contracts must not be zero.</t>
  </si>
  <si>
    <t>Table_1_UK (H6)</t>
  </si>
  <si>
    <t>Error</t>
  </si>
  <si>
    <t>QR.C18031.Table1.2</t>
  </si>
  <si>
    <t>Funding body grants must not be zero.</t>
  </si>
  <si>
    <t>Table_1_UK (H7)</t>
  </si>
  <si>
    <t>QR.C18031.Table1.3</t>
  </si>
  <si>
    <t>Research grants and contracts should not be zero.</t>
  </si>
  <si>
    <t>Table_1_UK (H8)</t>
  </si>
  <si>
    <t>Warning</t>
  </si>
  <si>
    <t>QR.C18031.Table1.4</t>
  </si>
  <si>
    <t>Other income must not be zero.</t>
  </si>
  <si>
    <t>Table_1_UK (H9)</t>
  </si>
  <si>
    <t>QR.C18031.Table1.5</t>
  </si>
  <si>
    <t>Investment income should not be zero.</t>
  </si>
  <si>
    <t>Table_1_UK (H10)</t>
  </si>
  <si>
    <t>QR.C18031.Table1.6</t>
  </si>
  <si>
    <t>Donations and endowments should not be zero.</t>
  </si>
  <si>
    <t>Table_1_UK (H11)</t>
  </si>
  <si>
    <t>QR.C18031.Table1.7</t>
  </si>
  <si>
    <t>Total income must not be zero (current year).</t>
  </si>
  <si>
    <t>Table_1_UK (H12)</t>
  </si>
  <si>
    <t>QR.C18031.Table1.8</t>
  </si>
  <si>
    <t>Total income must not be zero (restated year).</t>
  </si>
  <si>
    <t>Table_1_UK (I12)</t>
  </si>
  <si>
    <t>QR.C18031.Table1.9</t>
  </si>
  <si>
    <t>Total expenditure must not be zero (current year).</t>
  </si>
  <si>
    <t>Table_1_UK (H20)</t>
  </si>
  <si>
    <t>QR.C18031.Table1.10</t>
  </si>
  <si>
    <t>Total expenditure must not be zero (restated year).</t>
  </si>
  <si>
    <t>Table_1_UK (I20)</t>
  </si>
  <si>
    <t>QR.C18031.Table1.12</t>
  </si>
  <si>
    <t>Total comprehensive income must equal the Total breakdown represented by Endowment, Restricted, Unrestricted, Revaluation reserve and Non-controlling interest.</t>
  </si>
  <si>
    <t>Table_1_UK (H40, H49)</t>
  </si>
  <si>
    <t>QR.C18031.Table1.13</t>
  </si>
  <si>
    <t>Details of 'Miscellaneous types of Other comprehensive income' items must be specified in the text box if a value is entered.</t>
  </si>
  <si>
    <t>Table_1_UK (H38, M38)</t>
  </si>
  <si>
    <t>QR.C18031.Table1.14</t>
  </si>
  <si>
    <t>Miscellaneous types of Other comprehensive income' text box must be blank if a value is NOT entered.</t>
  </si>
  <si>
    <t>QR.C18031.Table1.15</t>
  </si>
  <si>
    <t>Total comprehensive income for the year should equal net assets movement.</t>
  </si>
  <si>
    <t>Table_1_UK (H40), Table_3_UK (H65, I65)</t>
  </si>
  <si>
    <t>QR.C18031.Table1.16</t>
  </si>
  <si>
    <t>There is a significant difference of values between years on Table 1.</t>
  </si>
  <si>
    <t>Table_1_UK (H7, I7, H9, I9, H10, I10, H11, I11, H16, I16, H18, I18, H19, I19, H24, I24, H25, I25, H26, I26, H27, I27, H31, I31)</t>
  </si>
  <si>
    <t>QR.C18031.Table1.17</t>
  </si>
  <si>
    <t>There is a difference of values between the restated figures on Table 1.</t>
  </si>
  <si>
    <t>Table_1_UK (I7, I9, I10, I11, I16, I18, I19, I24, I25, I26, I27, I31, I35, I36, I37, I38, I43, I44, I45, I46, I48, I52)</t>
  </si>
  <si>
    <t>QR.C18031.Table3.1</t>
  </si>
  <si>
    <t>Total reserves must not be zero (current year).</t>
  </si>
  <si>
    <t>Table_3_UK (H65)</t>
  </si>
  <si>
    <t>QR.C18031.Table3.2</t>
  </si>
  <si>
    <t>Total reserves must not be zero (restated year).</t>
  </si>
  <si>
    <t>Table_3_UK (I65)</t>
  </si>
  <si>
    <t>QR.C18031.Table3.3</t>
  </si>
  <si>
    <t>Total non-current assets must not be zero (current year).</t>
  </si>
  <si>
    <t>Table_3_UK (H15)</t>
  </si>
  <si>
    <t>QR.C18031.Table3.4</t>
  </si>
  <si>
    <t>Total non-current assets must not be zero (restated year).</t>
  </si>
  <si>
    <t>Table_3_UK (I15)</t>
  </si>
  <si>
    <t>QR.C18031.Table3.5</t>
  </si>
  <si>
    <t>Total current assets must not be zero (current year).</t>
  </si>
  <si>
    <t>Table_3_UK (H24)</t>
  </si>
  <si>
    <t>QR.C18031.Table3.6</t>
  </si>
  <si>
    <t>Total current assets must not be zero (restated year).</t>
  </si>
  <si>
    <t>Table_3_UK (I24)</t>
  </si>
  <si>
    <t>QR.C18031.Table3.7</t>
  </si>
  <si>
    <t>Total creditors (amounts falling due within one year) should not be zero (current year).</t>
  </si>
  <si>
    <t>Table_3_UK (H33)</t>
  </si>
  <si>
    <t>QR.C18031.Table3.8</t>
  </si>
  <si>
    <t>Total creditors (amounts falling due within one year) should not be zero (restated year).</t>
  </si>
  <si>
    <t>Table_3_UK (I33)</t>
  </si>
  <si>
    <t>QR.C18031.Table3.9</t>
  </si>
  <si>
    <t>Total net assets must equal Total reserves (current year).</t>
  </si>
  <si>
    <t>Table_3_UK (H53, H65)</t>
  </si>
  <si>
    <t>QR.C18031.Table3.10</t>
  </si>
  <si>
    <t>Total net assets must equal Total reserves (restated year).</t>
  </si>
  <si>
    <t>Table_3_UK (I53, I65)</t>
  </si>
  <si>
    <t>QR.C18031.Table3.11</t>
  </si>
  <si>
    <t>Negative goodwill value must be entered as a negative (current year).</t>
  </si>
  <si>
    <t>Table_3_UK (H8)</t>
  </si>
  <si>
    <t>QR.C18031.Table3.12</t>
  </si>
  <si>
    <t>Negative goodwill value must be entered as a negative (restated year).</t>
  </si>
  <si>
    <t>Table_3_UK (I8)</t>
  </si>
  <si>
    <t>QR.C18031.Table3.13</t>
  </si>
  <si>
    <t>Fixed assets must not be zero (current year).</t>
  </si>
  <si>
    <t>Table_3_UK (H10)</t>
  </si>
  <si>
    <t>QR.C18031.Table3.14</t>
  </si>
  <si>
    <t>Fixed assets must not be zero (restated year).</t>
  </si>
  <si>
    <t>Table_3_UK (I10)</t>
  </si>
  <si>
    <t>QR.C18031.Table3.15</t>
  </si>
  <si>
    <t>There is a significant difference of values between years on Table 3.</t>
  </si>
  <si>
    <t>Table_3_UK (H6, I6, H7, I7, H8, I8, H10, I10, H11, I11, H12, I12, H13, I13, H14, I14, H18, I18, H19, I19, H20, I20, H23, I23, H27, I27, H28, I28, H29, I29, H31, I31, H32, I32, H35, I35, H42, I42, H43, I43, H44, I44, H45, I45, H49, I49, H50, I50, H56, I56, H57, I57, H59, I59, H60, I60, H63, I63)</t>
  </si>
  <si>
    <t>QR.C18031.Table3.16</t>
  </si>
  <si>
    <t>There is a difference of values between the restated figures on Table 3.</t>
  </si>
  <si>
    <t>Table_3_UK (I6, I7, I8, I10, I11, I12, I13, I14, I18, I19, I20, I23, I27, I28, I29, I31, I32, I35, I42, I43, I44, I45, I49, I50, I56, I57, I59, I60, I63)</t>
  </si>
  <si>
    <t>QR.C18031.Table3S.1</t>
  </si>
  <si>
    <t>Investments value must be the same between tables (current year).</t>
  </si>
  <si>
    <t>Table_3_UK (H20), Table_3_Scotland (H12)</t>
  </si>
  <si>
    <t>QR.C18031.Table3S.2</t>
  </si>
  <si>
    <t>Cash and cash equivalents value must be the same between tables (current year).</t>
  </si>
  <si>
    <t>Table_3_UK (H21), Table_3_Scotland (H20)</t>
  </si>
  <si>
    <t>QR.C18031.Table3S.3</t>
  </si>
  <si>
    <t>Investments value must be the same between tables (restated year).</t>
  </si>
  <si>
    <t>Table_3_UK (I20), Table_3_Scotland (I12)</t>
  </si>
  <si>
    <t>QR.C18031.Table3S.4</t>
  </si>
  <si>
    <t>Cash and cash equivalents must be the same between tables (restated year).</t>
  </si>
  <si>
    <t>Table_3_UK (I21), Table_3_Scotland (I20)</t>
  </si>
  <si>
    <t>QR.C18031.Table3S.5</t>
  </si>
  <si>
    <t>Table_3_Scotland should be completed by providers in Scotland.</t>
  </si>
  <si>
    <t>Table_3_Scotland (H12, I12, H20, I20)</t>
  </si>
  <si>
    <t>QR.C18031.Table3S.6</t>
  </si>
  <si>
    <t>Table_3_Scotland must not be completed by providers outside Scotland.</t>
  </si>
  <si>
    <t>QR.C18031.Table3S.7</t>
  </si>
  <si>
    <t>There is a significant difference of values between years on Table_3_Scotland.</t>
  </si>
  <si>
    <t>Table_3_Scotland (H7, I7, H8, I8, H9, I9, H10, I10, H11, I11, H15, I15, H16, I16, H17, I17, H18, I18, H19, I19)</t>
  </si>
  <si>
    <t>QR.C18031.Table3S.8</t>
  </si>
  <si>
    <t>There is a difference of values between the restated figures on Table_3_Scotland.</t>
  </si>
  <si>
    <t>Table_3_Scotland (I7, I8, I9, I10, I11, I15, I16, I17, I18, I19)</t>
  </si>
  <si>
    <t>QR.C18031.Table4.1</t>
  </si>
  <si>
    <t>Adjustment for non-cash items: Other, details of 'other' items must be specified in the text box if a value is entered.</t>
  </si>
  <si>
    <t>Table_4_UK (H22, I22, M22)</t>
  </si>
  <si>
    <t>QR.C18031.Table4.2</t>
  </si>
  <si>
    <t>Adjustment for non-cash items: Other, text box must be blank if a value is NOT entered.</t>
  </si>
  <si>
    <t>QR.C18031.Table4.3</t>
  </si>
  <si>
    <t>Capital grant income should not be zero (current year).</t>
  </si>
  <si>
    <t>Table_4_UK (H29)</t>
  </si>
  <si>
    <t>QR.C18031.Table4.4</t>
  </si>
  <si>
    <t>Capital grant income should not be zero (restated year).</t>
  </si>
  <si>
    <t>Table_4_UK (I29)</t>
  </si>
  <si>
    <t>QR.C18031.Table4.5</t>
  </si>
  <si>
    <t>Capital grants receipts should not be zero (current year).</t>
  </si>
  <si>
    <t>Table_4_UK (H36)</t>
  </si>
  <si>
    <t>QR.C18031.Table4.6</t>
  </si>
  <si>
    <t>Capital grants receipts should not be zero (restated year).</t>
  </si>
  <si>
    <t>Table_4_UK (I36)</t>
  </si>
  <si>
    <t>QR.C18031.Table4.7</t>
  </si>
  <si>
    <t>Cash and cash equivalents minus Bank overdrafts minus Cash and cash equivalents at the end of the year is greater than +/- 5 (current year).</t>
  </si>
  <si>
    <t>Table_3_UK (H21, H27), Table_4_UK (H62)</t>
  </si>
  <si>
    <t>QR.C18031.Table4.8</t>
  </si>
  <si>
    <t>Cash and cash equivalents minus Bank overdrafts minus Cash and cash equivalents at the end of the year is greater than +/- 5 (restated year).</t>
  </si>
  <si>
    <t>Table_3_UK (I21, I27), Table_4_UK (I62)</t>
  </si>
  <si>
    <t>QR.C18031.Table4.9</t>
  </si>
  <si>
    <t>Head 5g Payments made to acquire fixed assets should be more than Head 5h Payments made to acquire intangible assets.</t>
  </si>
  <si>
    <t>Table_4_UK (H40, H41)</t>
  </si>
  <si>
    <t>QR.C18031.Table4.10</t>
  </si>
  <si>
    <t>Either Head 2a (Depreciation) or the sum of Heads 2a + 2b (Depreciation + Amortisation of intangibles) must equal Table_1_UK Head 2d Depreciation.</t>
  </si>
  <si>
    <t>Table_4_UK (H9, H10), Table_1_UK (H18)</t>
  </si>
  <si>
    <t>QR.C18031.Table4.11</t>
  </si>
  <si>
    <t>Either Head 3a (Investment income) or Head 3c (Endowment income) have been returned  as a positive number when they should be returned as a negative (restated year).</t>
  </si>
  <si>
    <t>Table_4_UK (I25, I27)</t>
  </si>
  <si>
    <t>QR.C18031.Table4.12</t>
  </si>
  <si>
    <t>There is a difference of values between the restated figures on Table 4.</t>
  </si>
  <si>
    <t>Table_4_UK (I6, I9, I10, I11, I12, I13, I14, I15, I16, I17, I18, I19, I20, I21, I22, I25, I26, I27, I28, I34, I35, I37, I38, I39, I41, I42, I43, I49, I50, I51, I52, I53, I54, I55, I56, I61)</t>
  </si>
  <si>
    <t>QR.C18031.Table5.1</t>
  </si>
  <si>
    <t>There is a value for Total research grants in the income table but no value for this in the expenditure table, or vice versa. Is this genuine?</t>
  </si>
  <si>
    <t>Table_5_UK (AE61), Table_8_UK(O98)</t>
  </si>
  <si>
    <t>QR.C18031.Table5.2</t>
  </si>
  <si>
    <t>There is a value for Total BEIS Research Councils in the income table but no value for this in the expenditure table, or vice versa. Is this genuine?</t>
  </si>
  <si>
    <t>Table_5_UK (Q61), Table_8_UK(O85)</t>
  </si>
  <si>
    <t>QR.C18031.Table5.3</t>
  </si>
  <si>
    <t>There is a value for UK-based charities (open competitive process) in the income table but no value for this in the expenditure table, or vice versa. Is this genuine?</t>
  </si>
  <si>
    <t>Table_5_UK (R61), Table_8_UK(O86)</t>
  </si>
  <si>
    <t>QR.C18031.Table5.4</t>
  </si>
  <si>
    <t>There is a value for UK-based charities (other) in the income table but no value for this in the expenditure table, or vice versa. Is this genuine?</t>
  </si>
  <si>
    <t>Table_5_UK (S61), Table_8_UK(O87)</t>
  </si>
  <si>
    <t>QR.C18031.Table5.5</t>
  </si>
  <si>
    <t>There is a value for UK central government bodies/local authorities, health and hospital authorities in the income table but no value for this in the expenditure table, or vice versa. Is this genuine?</t>
  </si>
  <si>
    <t>Table_5_UK (T61), Table_8_UK(O88)</t>
  </si>
  <si>
    <t>QR.C18031.Table5.6</t>
  </si>
  <si>
    <t>There is a value for UK industry, commerce and public corporations in the income table but no value for this in the expenditure table, or vice versa. Is this genuine?</t>
  </si>
  <si>
    <t>Table_5_UK (V61), Table_8_UK(O89)</t>
  </si>
  <si>
    <t>QR.C18031.Table5.7</t>
  </si>
  <si>
    <t>There is a value for UK other sources in the income table but no value for this in the expenditure table, or vice versa. Is this genuine?</t>
  </si>
  <si>
    <t>Table_5_UK (W61), Table_8_UK(O90)</t>
  </si>
  <si>
    <t>QR.C18031.Table5.8</t>
  </si>
  <si>
    <t>There is a value for EU government bodies in the income table but no value for this in the expenditure table, or vice versa. Is this genuine?</t>
  </si>
  <si>
    <t>Table_5_UK (X61), Table_8_UK(O91)</t>
  </si>
  <si>
    <t>QR.C18031.Table5.9</t>
  </si>
  <si>
    <t>There is a value for EU-based charities (open competitive process) in the income table but no value for this in the expenditure table, or vice versa. Is this genuine?</t>
  </si>
  <si>
    <t>Table_5_UK (Y61), Table_8_UK(O92)</t>
  </si>
  <si>
    <t>QR.C18031.Table5.10</t>
  </si>
  <si>
    <t>There is a value for EU industry, commerce and public corporations in the income table but no value for this in the expenditure table, or vice versa. Is this genuine?</t>
  </si>
  <si>
    <t>Table_5_UK (Z61), Table_8_UK(O93)</t>
  </si>
  <si>
    <t>QR.C18031.Table5.11</t>
  </si>
  <si>
    <t>There is a value for EU (excluding UK) other in the income table but no value for this in the expenditure table, or vice versa. Is this genuine?</t>
  </si>
  <si>
    <t>Table_5_UK (AA61), Table_8_UK(O94)</t>
  </si>
  <si>
    <t>QR.C18031.Table5.12</t>
  </si>
  <si>
    <t>There is a value for Non-EU-based charities (open competitive process) in the income table but no value for this in the expenditure table, or vice versa. Is this genuine?</t>
  </si>
  <si>
    <t>Table_5_UK (AB61), Table_8_UK(O95)</t>
  </si>
  <si>
    <t>QR.C18031.Table5.13</t>
  </si>
  <si>
    <t>There is a value for Non-EU industry, commerce and public corporations in the income table but no value for this in the expenditure table, or vice versa. Is this genuine?</t>
  </si>
  <si>
    <t>Table_5_UK (AC61), Table_8_UK(O96)</t>
  </si>
  <si>
    <t>QR.C18031.Table5.14</t>
  </si>
  <si>
    <t>There is a value for Non-EU other in the income table but no value for this in the expenditure table, or vice versa. Is this genuine?</t>
  </si>
  <si>
    <t>Table_5_UK (AD61), Table_8_UK(O97)</t>
  </si>
  <si>
    <t>QR.C18031.Table6.1</t>
  </si>
  <si>
    <t>Research training support grant income would not usually all be under: Income for general research studentships from charities.</t>
  </si>
  <si>
    <t>Table_6_UK (K63, K65)</t>
  </si>
  <si>
    <t>QR.C18031.Table6.4</t>
  </si>
  <si>
    <t xml:space="preserve">If provider is in Scotland then the sum of Table_6_UK, column 1 SLC/LEAs/SAAS/DfE(NI), Head 1ai/1bi FT UG and Head 1aii/1bii FT PGCE and Head 1aiii/1biii FT PG taught and Head 1av/1bv PT UG must not be zero.  </t>
  </si>
  <si>
    <t>Table_6_UK (H27, H28, H29, H31)</t>
  </si>
  <si>
    <t>QR.C18031.Table6.5</t>
  </si>
  <si>
    <t xml:space="preserve">If provider is in Wales then the sum of Table_6_UK, column 1 SLC/LEAs/SAAS/DfE(NI), Head 1ai/1bi FT UG and Head 1aii/1bii FT PGCE and Head 1aiii/1biii FT PG taught and Head 1av/1bv PT UG must not be zero.  </t>
  </si>
  <si>
    <t>QR.C18031.Table6.6</t>
  </si>
  <si>
    <t xml:space="preserve">If provider is in Northern Ireland then the sum of Table_6_UK, column 1 SLC/LEAs/SAAS/DfE(NI), Head 1ai/1bi FT UG and Head 1aii/1bii FT PGCE and Head 1aiii/1biii FT PG taught and Head 1av/1bv PT UG must not be zero.  </t>
  </si>
  <si>
    <t>QR.C18031.Table6.8</t>
  </si>
  <si>
    <t>Table_6_UK Head 1dviii Total Other EU fees should not be zero.</t>
  </si>
  <si>
    <t>Table_6_UK (K44)</t>
  </si>
  <si>
    <t>QR.C18031.Table6.9</t>
  </si>
  <si>
    <t>Table_6_UK Head 1fviii Total Non-EU fees should not be zero.</t>
  </si>
  <si>
    <t>Table_6_UK (K56)</t>
  </si>
  <si>
    <t>QR.C18031.Table6.10</t>
  </si>
  <si>
    <t>Table_6_UK Head 1c, Head 1d, Head 1f, Head 2, Head 3 and Head 4 should have a total value greater than zero in more than 25% of cells.</t>
  </si>
  <si>
    <t>Table_6_UK (K27, K28, K29, K30 K31, K32, K33, K37, K38, K39, K40, K41, K42, K43, K49, K50, K51, K52, K53, K54, K55, K60, K61, K63, K64)</t>
  </si>
  <si>
    <t>QR.C18031.Table6.11</t>
  </si>
  <si>
    <t>Table_6_UK Head 5 Total tuition fees and education contracts must be the same as Table_1_UK Tuition fees and education contracts (restated year).</t>
  </si>
  <si>
    <t>Table_6_UK (O67), Table_1_UK (I6)</t>
  </si>
  <si>
    <t>QR.C18031.Table6.12</t>
  </si>
  <si>
    <t>There is a significant difference of values between years on Table 6.</t>
  </si>
  <si>
    <t>Table_6_UK (K9, O9, K10, O10, K11, O11, K12, O12, K13, O13, K14, O14, K15, O15, K18, O18, K19, O19, K20, O20, K21, O21, K22, O22, K23, O23, K24, O24, K37, O37, K38, O38, K39, O39, K40, O40, K41, O41, K42, O42, K43, O43, K49, O49, K50, O50, K51, O51, K52, O52, K53, O53, K54, O54, K55, O55, K60, O60, K61, O61, K63, O63, K64, O64)</t>
  </si>
  <si>
    <t>QR.C18031.Table7.1</t>
  </si>
  <si>
    <t>Table_7_UK Head 1 Tuition fees and education contracts has been entered and is greater than 0 therefore it must equal Table_1_UK Head 1a Tuition fees and education contracts.</t>
  </si>
  <si>
    <t>Table_7_UK (H6), Table_1_UK (H6)</t>
  </si>
  <si>
    <t>QR.C18031.Table7.2</t>
  </si>
  <si>
    <t>Table_7_UK Head 4i Total other income has been entered and is greater than 0 therefore it must equal Table_1_UK Head 1d Other income.</t>
  </si>
  <si>
    <t>Table_7_UK (H53), Table_1_UK (H9)</t>
  </si>
  <si>
    <t>QR.C18031.Table7.3</t>
  </si>
  <si>
    <t>Table_7_UK Head 5 Investment income has been entered and is greater than 0 therefore it must equal Table_1_UK Head 1e Investment income.</t>
  </si>
  <si>
    <t>Table_7_UK (H55), Table_1_UK (H10)</t>
  </si>
  <si>
    <t>QR.C18031.Table7.4</t>
  </si>
  <si>
    <t>Table_7_UK Head 7d Total donations and endowments has been entered and is greater than 0 therefore it must equal Table_1_UK Head 1f Donations and endowments.</t>
  </si>
  <si>
    <t>Table_7_UK (H63), Table_1_UK (H11)</t>
  </si>
  <si>
    <t>QR.C18031.Table7.5</t>
  </si>
  <si>
    <t>Table_7_UK Head 1 Tuition fees and education contracts does not have the same value as Table_1_UK Head 1a Tuition fees and education contracts.</t>
  </si>
  <si>
    <t>QR.C18031.Table7.6</t>
  </si>
  <si>
    <t>Table_7_UK Head 4i Total other income does not have the same value as Table_1_UK Head 1d Other income.</t>
  </si>
  <si>
    <t>QR.C18031.Table7.7</t>
  </si>
  <si>
    <t>Table_7_UK Head 5 Investment income does not have the same value as Table_1_UK Head 1e Investment income.</t>
  </si>
  <si>
    <t>QR.C18031.Table7.8</t>
  </si>
  <si>
    <t>Table_7_UK Head 7d Total donations and endowments does not have the same value as Table_1_UK Head 1f Donations and endowments.</t>
  </si>
  <si>
    <t>QR.C18031.Table7.9</t>
  </si>
  <si>
    <t>Table_1_UK Head 1a Tuition fees and education contracts has a value of 0 therefore Table_7_UK Head 1 Tuition fees and education contracts should also have a value of 0.</t>
  </si>
  <si>
    <t>QR.C18031.Table7.10</t>
  </si>
  <si>
    <t>Table_1_UK Head 1d Other income has a value of 0 therefore Table_7_UK Head 4i Total other income must also have a value of 0.</t>
  </si>
  <si>
    <t>QR.C18031.Table7.11</t>
  </si>
  <si>
    <t>Table_1_UK Head 1e Investment income has a value of 0 therefore Table_7_UK Head 5 Investment income must also have a value of 0.</t>
  </si>
  <si>
    <t>QR.C18031.Table7.12</t>
  </si>
  <si>
    <t>Table_1_UK Head 1f Donations and endowments has a value of 0 therefore Table_7_UK Head 7d Total donations and endowments must also have a value of 0.</t>
  </si>
  <si>
    <t>QR.C18031.Table7.13</t>
  </si>
  <si>
    <t>Table_7_UK Head 2 Funding body grants has been entered and is greater than 0 therefore it must equal Table_1_UK Head 1b Funding body grants.</t>
  </si>
  <si>
    <t>Table_7_UK (H8), Table_1_UK (H7)</t>
  </si>
  <si>
    <t>QR.C18031.Table7.14</t>
  </si>
  <si>
    <t>Table_7_UK Head 3o Total Research grants and contracts is greater than 0 therefore it must equal Table_1_UK Head 1c Research grants and contracts.</t>
  </si>
  <si>
    <t>Table_7_UK (H35), Table_1_UK (H8)</t>
  </si>
  <si>
    <t>QR.C18031.Table7.15</t>
  </si>
  <si>
    <t>Table_7_UK Head 2 Funding body grants does not have the same value as Table_1_UK Head 1b Funding body grants.</t>
  </si>
  <si>
    <t>QR.C18031.Table7.16</t>
  </si>
  <si>
    <t>Table_7_UK Head 3o Total Research grants and contracts does not have the same value as Table_1_UK Head 1c Research grants and contracts.</t>
  </si>
  <si>
    <t>QR.C18031.Table7.17</t>
  </si>
  <si>
    <t>Table_1_UK Head 1b Funding body grants has a value of 0 therefore Table_7_UK Head 2 Funding body grants must also have a value of 0.</t>
  </si>
  <si>
    <t>QR.C18031.Table7.18</t>
  </si>
  <si>
    <t>Table_1_UK Head 1c Research grants and contracts has a value of 0 therefore Table_7_UK Head 3o Total research grants and contracts must also have a value of 0.</t>
  </si>
  <si>
    <t>QR.C18031.Table7W.1</t>
  </si>
  <si>
    <t>Completion of this country specific table must only be by providers in Wales.</t>
  </si>
  <si>
    <t>Table_7_Wales (H15)</t>
  </si>
  <si>
    <t>QR.C18031.Table7S.1</t>
  </si>
  <si>
    <t>Completion of this country specific table must only be by providers in Scotland.</t>
  </si>
  <si>
    <t>Table_7_Scotland (H13)</t>
  </si>
  <si>
    <t>QR.C18031.Table7N.1</t>
  </si>
  <si>
    <t>Completion of this country specific table must only be by providers in Northern Ireland.</t>
  </si>
  <si>
    <t>Table_7_N_Ireland (H10)</t>
  </si>
  <si>
    <t>QR.C18031.Table8.1</t>
  </si>
  <si>
    <t>101 Clinical medicine: If Total staff costs are greater than zero then there should be an Other operating expenses value.</t>
  </si>
  <si>
    <t>Table_8_UK (J6, L6)</t>
  </si>
  <si>
    <t>QR.C18031.Table8.2</t>
  </si>
  <si>
    <t>102 Clinical dentistry: If Total staff costs are greater than zero then there should be an Other operating expenses value.</t>
  </si>
  <si>
    <t>Table_8_UK (J7, L7)</t>
  </si>
  <si>
    <t>QR.C18031.Table8.3</t>
  </si>
  <si>
    <t>103 Nursing &amp; allied health professions: If Total staff costs are greater than zero then there should be an Other operating expenses value.</t>
  </si>
  <si>
    <t>Table_8_UK (J8, L8)</t>
  </si>
  <si>
    <t>QR.C18031.Table8.4</t>
  </si>
  <si>
    <t>104 Psychology &amp; behavioural sciences: If Total staff costs are greater than zero then there should be an Other operating expenses value.</t>
  </si>
  <si>
    <t>Table_8_UK (J9, L9)</t>
  </si>
  <si>
    <t>QR.C18031.Table8.5</t>
  </si>
  <si>
    <t>105 Health &amp; community studies: If Total staff costs are greater than zero then there should be an Other operating expenses value.</t>
  </si>
  <si>
    <t>Table_8_UK (J10, L10)</t>
  </si>
  <si>
    <t>QR.C18031.Table8.6</t>
  </si>
  <si>
    <t>106 Anatomy &amp; physiology: If Total staff costs are greater than zero then there should be an Other operating expenses value.</t>
  </si>
  <si>
    <t>Table_8_UK (J11, L11)</t>
  </si>
  <si>
    <t>QR.C18031.Table8.7</t>
  </si>
  <si>
    <t>107 Pharmacy &amp; pharmacology:  If Total staff costs are greater than zero then there should be an Other operating expenses value.</t>
  </si>
  <si>
    <t>Table_8_UK (J12, L12)</t>
  </si>
  <si>
    <t>QR.C18031.Table8.8</t>
  </si>
  <si>
    <t>108 Sports science &amp; leisure studies: If Total staff costs are greater than zero then there should be an Other operating expenses value.</t>
  </si>
  <si>
    <t>Table_8_UK (J13, L13)</t>
  </si>
  <si>
    <t>QR.C18031.Table8.9</t>
  </si>
  <si>
    <t>109 Veterinary science: If Total staff costs are greater than zero then there should be an Other operating expenses value.</t>
  </si>
  <si>
    <t>Table_8_UK (J14, L14)</t>
  </si>
  <si>
    <t>QR.C18031.Table8.10</t>
  </si>
  <si>
    <t>110 Agriculture, forestry &amp; food science: If Total staff costs are greater than zero then there should be an Other operating expenses value.</t>
  </si>
  <si>
    <t>Table_8_UK (J15, L15)</t>
  </si>
  <si>
    <t>QR.C18031.Table8.11</t>
  </si>
  <si>
    <t>111 Earth, marine &amp; environmental sciences: If Total staff costs are greater than zero then there should be an Other operating expenses value.</t>
  </si>
  <si>
    <t>Table_8_UK (J16, L16)</t>
  </si>
  <si>
    <t>QR.C18031.Table8.12</t>
  </si>
  <si>
    <t>112 Biosciences: If Total staff costs are greater than zero then there should be an Other operating expenses value.</t>
  </si>
  <si>
    <t>Table_8_UK (J17, L17)</t>
  </si>
  <si>
    <t>QR.C18031.Table8.13</t>
  </si>
  <si>
    <t>113 Chemistry: If Total staff costs are greater than zero then there should be an Other operating expenses value.</t>
  </si>
  <si>
    <t>Table_8_UK (J18, L18)</t>
  </si>
  <si>
    <t>QR.C18031.Table8.14</t>
  </si>
  <si>
    <t>114 Physics: If Total staff costs are greater than zero then there should be an Other operating expenses value.</t>
  </si>
  <si>
    <t>Table_8_UK (J19, L19)</t>
  </si>
  <si>
    <t>QR.C18031.Table8.15</t>
  </si>
  <si>
    <t>115 General engineering: If Total staff costs are greater than zero then there should be an Other operating expenses value.</t>
  </si>
  <si>
    <t>Table_8_UK (J20, L20)</t>
  </si>
  <si>
    <t>QR.C18031.Table8.16</t>
  </si>
  <si>
    <t>116 Chemical engineering: If Total staff costs are greater than zero then there should be an Other operating expenses value.</t>
  </si>
  <si>
    <t>Table_8_UK (J21, L21)</t>
  </si>
  <si>
    <t>QR.C18031.Table8.17</t>
  </si>
  <si>
    <t>117 Mineral, metallurgy &amp; materials engineering: If Total staff costs are greater than zero then there should be an Other operating expenses value.</t>
  </si>
  <si>
    <t>Table_8_UK (J22, L22)</t>
  </si>
  <si>
    <t>QR.C18031.Table8.18</t>
  </si>
  <si>
    <t>118 Civil engineering: If Total staff costs are greater than zero then there should be an Other operating expenses value.</t>
  </si>
  <si>
    <t>Table_8_UK (J23, L23)</t>
  </si>
  <si>
    <t>QR.C18031.Table8.19</t>
  </si>
  <si>
    <t>119 Electrical, electronic &amp; computer engineering: If Total staff costs are greater than zero then there should be an Other operating expenses value.</t>
  </si>
  <si>
    <t>Table_8_UK (J24, L24)</t>
  </si>
  <si>
    <t>QR.C18031.Table8.20</t>
  </si>
  <si>
    <t>120 Mechanical, aero &amp; production engineering: If Total staff costs are greater than zero then there should be an Other operating expenses value.</t>
  </si>
  <si>
    <t>Table_8_UK (J25, L25)</t>
  </si>
  <si>
    <t>QR.C18031.Table8.21</t>
  </si>
  <si>
    <t>121 IT, systems sciences &amp; computer software engineering: If Total staff costs are greater than zero then there should be an Other operating expenses value.</t>
  </si>
  <si>
    <t>Table_8_UK (J26, L26)</t>
  </si>
  <si>
    <t>QR.C18031.Table8.22</t>
  </si>
  <si>
    <t>122 Mathematics: If Total staff costs are greater than zero then there should be an Other operating expenses value.</t>
  </si>
  <si>
    <t>Table_8_UK (J27, L27)</t>
  </si>
  <si>
    <t>QR.C18031.Table8.23</t>
  </si>
  <si>
    <t>123 Architecture, built environment &amp; planning: If Total staff costs are greater than zero then there should be an Other operating expenses value.</t>
  </si>
  <si>
    <t>Table_8_UK (J28, L28)</t>
  </si>
  <si>
    <t>QR.C18031.Table8.24</t>
  </si>
  <si>
    <t>124 Geography &amp; environmental studies: If Total staff costs are greater than zero then there should be an Other operating expenses value.</t>
  </si>
  <si>
    <t>Table_8_UK (J29, L29)</t>
  </si>
  <si>
    <t>QR.C18031.Table8.25</t>
  </si>
  <si>
    <t>125 Area studies: If Total staff costs are greater than zero then there should be an Other operating expenses value.</t>
  </si>
  <si>
    <t>Table_8_UK (J30, L30)</t>
  </si>
  <si>
    <t>QR.C18031.Table8.26</t>
  </si>
  <si>
    <t>126 Archaeology: If Total staff costs are greater than zero then there should be an Other operating expenses value.</t>
  </si>
  <si>
    <t>Table_8_UK (J31, L31)</t>
  </si>
  <si>
    <t>QR.C18031.Table8.27</t>
  </si>
  <si>
    <t>127 Anthropology &amp; development studies: If Total staff costs are greater than zero then there should be an Other operating expenses value.</t>
  </si>
  <si>
    <t>Table_8_UK (J32, L32)</t>
  </si>
  <si>
    <t>QR.C18031.Table8.28</t>
  </si>
  <si>
    <t>128 Politics &amp; international studies: If Total staff costs are greater than zero then there should be an Other operating expenses value.</t>
  </si>
  <si>
    <t>Table_8_UK (J33, L33)</t>
  </si>
  <si>
    <t>QR.C18031.Table8.29</t>
  </si>
  <si>
    <t>129 Economics &amp; econometrics: If Total staff costs are greater than zero then there should be an Other operating expenses value.</t>
  </si>
  <si>
    <t>Table_8_UK (J34, L34)</t>
  </si>
  <si>
    <t>QR.C18031.Table8.30</t>
  </si>
  <si>
    <t>130 Law: If Total staff costs are greater than zero then there should be an Other operating expenses value.</t>
  </si>
  <si>
    <t>Table_8_UK (J35, L35)</t>
  </si>
  <si>
    <t>QR.C18031.Table8.31</t>
  </si>
  <si>
    <t>131 Social work &amp; social policy: If Total staff costs are greater than zero then there should be an Other operating expenses value.</t>
  </si>
  <si>
    <t>Table_8_UK (J36, L36)</t>
  </si>
  <si>
    <t>QR.C18031.Table8.32</t>
  </si>
  <si>
    <t>132 Sociology: If Total staff costs are greater than zero then there should be an Other operating expenses value.</t>
  </si>
  <si>
    <t>Table_8_UK (J37, L37)</t>
  </si>
  <si>
    <t>QR.C18031.Table8.33</t>
  </si>
  <si>
    <t>133 Business &amp; management studies: If Total staff costs are greater than zero then there should be an Other operating expenses value.</t>
  </si>
  <si>
    <t>Table_8_UK (J38, L38)</t>
  </si>
  <si>
    <t>QR.C18031.Table8.34</t>
  </si>
  <si>
    <t>134 Catering &amp; hospitality management: If Total staff costs are greater than zero then there should be an Other operating expenses value.</t>
  </si>
  <si>
    <t>Table_8_UK (J39, L39)</t>
  </si>
  <si>
    <t>QR.C18031.Table8.35</t>
  </si>
  <si>
    <t>135 Education: If Total staff costs are greater than zero then there should be an Other operating expenses value.</t>
  </si>
  <si>
    <t>Table_8_UK (J40, L40)</t>
  </si>
  <si>
    <t>QR.C18031.Table8.36</t>
  </si>
  <si>
    <t>136 Continuing education: If Total staff costs are greater than zero then there should be an Other operating expenses value.</t>
  </si>
  <si>
    <t>Table_8_UK (J41, L41)</t>
  </si>
  <si>
    <t>QR.C18031.Table8.37</t>
  </si>
  <si>
    <t>137 Modern languages: If Total staff costs are greater than zero then there should be an Other operating expenses value.</t>
  </si>
  <si>
    <t>Table_8_UK (J42, L42)</t>
  </si>
  <si>
    <t>QR.C18031.Table8.38</t>
  </si>
  <si>
    <t>138 English language &amp; literature: If Total staff costs are greater than zero then there should be an Other operating expenses value.</t>
  </si>
  <si>
    <t>Table_8_UK (J43, L43)</t>
  </si>
  <si>
    <t>QR.C18031.Table8.39</t>
  </si>
  <si>
    <t>139 History: If Total staff costs are greater than zero then there should be an Other operating expenses value.</t>
  </si>
  <si>
    <t>Table_8_UK (J44, L44)</t>
  </si>
  <si>
    <t>QR.C18031.Table8.40</t>
  </si>
  <si>
    <t>140 Classics: If Total staff costs are greater than zero then there should be an Other operating expenses value.</t>
  </si>
  <si>
    <t>Table_8_UK (J45, L45)</t>
  </si>
  <si>
    <t>QR.C18031.Table8.41</t>
  </si>
  <si>
    <t>141 Philosophy: If Total staff costs are greater than zero then there should be an Other operating expenses value.</t>
  </si>
  <si>
    <t>Table_8_UK (J46, L46)</t>
  </si>
  <si>
    <t>QR.C18031.Table8.42</t>
  </si>
  <si>
    <t>142 Theology &amp; religious studies: If Total staff costs are greater than zero then there should be an Other operating expenses value.</t>
  </si>
  <si>
    <t>Table_8_UK (J47, L47)</t>
  </si>
  <si>
    <t>QR.C18031.Table8.43</t>
  </si>
  <si>
    <t>143 Art &amp; design: If Total staff costs are greater than zero then there should be an Other operating expenses value.</t>
  </si>
  <si>
    <t>Table_8_UK (J48, L48)</t>
  </si>
  <si>
    <t>QR.C18031.Table8.44</t>
  </si>
  <si>
    <t>144 Music, dance, drama &amp; performing arts: If Total staff costs are greater than zero then there should be an Other operating expenses value.</t>
  </si>
  <si>
    <t>Table_8_UK (J49, L49)</t>
  </si>
  <si>
    <t>QR.C18031.Table8.45</t>
  </si>
  <si>
    <t>145 Media studies: If Total staff costs are greater than zero then there should be an Other operating expenses value.</t>
  </si>
  <si>
    <t>Table_8_UK (J50, L50)</t>
  </si>
  <si>
    <t>QR.C18031.Table8.46</t>
  </si>
  <si>
    <t>A pension cost adjustment value for other operating expenses has been returned. Is this genuine?</t>
  </si>
  <si>
    <t>Table_8_UK (L101)</t>
  </si>
  <si>
    <t>QR.C18031.Table8.47</t>
  </si>
  <si>
    <t>Other expenditure: Other is a substantial amount of the Total expenditure, please check what has been included here. Should it be allocated elsewhere?</t>
  </si>
  <si>
    <t>Table_8_UK (O102, O105)</t>
  </si>
  <si>
    <t>QR.C18031.Table8.53</t>
  </si>
  <si>
    <t>Total expenditure for Table_8_UK Head 3bi National Bursaries + Head 3bii Provider specific bursaries and scholarships should not be zero.</t>
  </si>
  <si>
    <t>Table_8_UK (O58, O59)</t>
  </si>
  <si>
    <t>QR.C18031.Table8.54</t>
  </si>
  <si>
    <t>Table_8_UK Head 8 Total expenditure (Other operating expenses) has been entered and is greater than 0 therefore it must equal Table_1_UK Head 2c Other operating expenses.</t>
  </si>
  <si>
    <t>Table_8_UK (L105), Table_1_UK (H17)</t>
  </si>
  <si>
    <t>QR.C18031.Table8.55</t>
  </si>
  <si>
    <t>Table_8_UK Head 8 Total expenditure (Depreciation) has been entered and is greater than 0 therefore it must equal Table_1_UK Head 2d Depreciation.</t>
  </si>
  <si>
    <t>Table_8_UK (M105), Table_1_UK (H18)</t>
  </si>
  <si>
    <t>QR.C18031.Table8.56</t>
  </si>
  <si>
    <t>Table_8_UK Head 8 Total expenditure (Interest and other finance costs) has been entered and is greater than 0 therefore it must equal Table_1_UK Head 2e Interest and other finance costs.</t>
  </si>
  <si>
    <t>Table_8_UK (N105), Table_1_UK (H19)</t>
  </si>
  <si>
    <t>QR.C18031.Table8.57</t>
  </si>
  <si>
    <t>Table_8_UK Head 8 Total expenditure (Other operating expenses) does not have the same value as Table_1_UK Head 2c Other operating expenses.</t>
  </si>
  <si>
    <t>QR.C18031.Table8.58</t>
  </si>
  <si>
    <t>Table_8_UK Head 8 Total expenditure (Depreciation) does not have the same value as Table_1_UK Head 2d Depreciation.</t>
  </si>
  <si>
    <t>QR.C18031.Table8.59</t>
  </si>
  <si>
    <t>Table_8_UK Head 8 Total expenditure (Interest and other finance costs) does not have the same value as Table_1_UK Head 2e Interest and other finance costs.</t>
  </si>
  <si>
    <t>QR.C18031.Table8.60</t>
  </si>
  <si>
    <t>Table_1_UK Head 2c Other operating expenses has a value of 0 thereforeTable_8_UK Head 8 Total expenditure (Other operating expenses) must also have a value of 0.</t>
  </si>
  <si>
    <t>QR.C18031.Table8.61</t>
  </si>
  <si>
    <t>Table_1_UK Head 2d Depreciation has a value of 0 therefore Table_8_UK Head 8 Total expenditure (Depreciation) must also have a value of 0.</t>
  </si>
  <si>
    <t>QR.C18031.Table8.62</t>
  </si>
  <si>
    <t>Table_1_UK Head 2e Interest and other finance costs has a value of 0 therefore Table_8_UK Head 8 Total expenditure (Interest and other finance costs) must also have a value of 0.</t>
  </si>
  <si>
    <t>QR.C18031.Table8.63</t>
  </si>
  <si>
    <t>Table_8_UK Head 8 Total expenditure (Staff costs) has been entered and is greater than 0 therefore it must equal Table_1_UK Head 2a Staff costs.</t>
  </si>
  <si>
    <t>Table_8_UK (J105), Table_1_UK (H15)</t>
  </si>
  <si>
    <t>QR.C18031.Table8.64</t>
  </si>
  <si>
    <t>Table_8_UK Head 8 Total expenditure (Fundamental restructuring costs) has been entered and is greater than 0 therefore it must equal Table_1_UK Head 2b Fundamental restructuring costs.</t>
  </si>
  <si>
    <t>Table_8_UK (K105), Table_1_UK (H16)</t>
  </si>
  <si>
    <t>QR.C18031.Table8.65</t>
  </si>
  <si>
    <t>Table_8_UK Head 8 Total expenditure (Staff costs) does not have the same value as Table_1_UK Head 2a Staff costs.</t>
  </si>
  <si>
    <t>QR.C18031.Table8.66</t>
  </si>
  <si>
    <t>Table_8_UK Head 8 Total expenditure (Fundamental restructuring costs) does not have the same value as Table_1_UK Head 2b Fundamental restructuring costs.</t>
  </si>
  <si>
    <t>QR.C18031.Table8.67</t>
  </si>
  <si>
    <t>Table_1_UK Head 2a Staff costs has a value of 0 therefore Table_8_UK Head 8 Total expenditure (Staff costs) must also have a value of 0.</t>
  </si>
  <si>
    <t>QR.C18031.Table8.68</t>
  </si>
  <si>
    <t>Table_1_UK Head 2b Fundamental restructuring costs has a value of 0 therefore Table_8_UK Head 8 Total expenditure (Fundamental restructuring costs) must also have a value of 0.</t>
  </si>
  <si>
    <t>QR.C18031.Table8.70</t>
  </si>
  <si>
    <t>A value is expected to be returned for Head 3bii ‘203 General education expenditure, Provider specific (including departmental) bursaries and scholarships’.</t>
  </si>
  <si>
    <t>Table_8_UK (O59)</t>
  </si>
  <si>
    <t>QR.C18031.Table9.1</t>
  </si>
  <si>
    <t>Total actual spend for Residences operations: Buildings should be greater than or equal to zero.</t>
  </si>
  <si>
    <t>Table_9_UK (H6)</t>
  </si>
  <si>
    <t>QR.C18031.Table9.2</t>
  </si>
  <si>
    <t>Total actual spend for Residences operations: Equipment should be greater than or equal to zero.</t>
  </si>
  <si>
    <t>Table_9_UK (H7)</t>
  </si>
  <si>
    <t>QR.C18031.Table9.3</t>
  </si>
  <si>
    <t>Total actual spend for Catering operations: Buildings should be greater than or equal to zero.</t>
  </si>
  <si>
    <t>Table_9_UK (H10)</t>
  </si>
  <si>
    <t>QR.C18031.Table9.4</t>
  </si>
  <si>
    <t>Total actual spend for Catering operations: Equipment should be greater than or equal to zero.</t>
  </si>
  <si>
    <t>Table_9_UK (H11)</t>
  </si>
  <si>
    <t>QR.C18031.Table9.5</t>
  </si>
  <si>
    <t>Total actual spend for Other operations: Buildings should be greater than or equal to zero.</t>
  </si>
  <si>
    <t>Table_9_UK (H14)</t>
  </si>
  <si>
    <t>QR.C18031.Table9.6</t>
  </si>
  <si>
    <t>Total actual spend for Other operations: Equipment should be greater than or equal to zero.</t>
  </si>
  <si>
    <t>Table_9_UK (H15)</t>
  </si>
  <si>
    <t>QR.C18031.Table9.7</t>
  </si>
  <si>
    <t>Total capital expenditure Total actual spend should be greater than or equal to zero.</t>
  </si>
  <si>
    <t>Table_9_UK (H17)</t>
  </si>
  <si>
    <t>QR.C18031.Table9.8</t>
  </si>
  <si>
    <t>All monies must be entered rounded to the nearest £1,000 (entering more than £400,000 signifies wrong degree of accuracy).</t>
  </si>
  <si>
    <t>Table_9_UK (H6, H7, H10, H11, H14, H15)</t>
  </si>
  <si>
    <t>QR.C18031.Table9.9</t>
  </si>
  <si>
    <t>Residences Funding body grants value has been returned. Is this genuine?</t>
  </si>
  <si>
    <t>Table_9_UK (I6, I7)</t>
  </si>
  <si>
    <t>QR.C18031.Table9.10</t>
  </si>
  <si>
    <t>Catering Funding body grants value has been returned. Is this genuine?</t>
  </si>
  <si>
    <t>Table_9_UK (I10, I11)</t>
  </si>
  <si>
    <t>QR.C18031.Table9.12</t>
  </si>
  <si>
    <t>Total capital expenditure from Funding body grants is expected to contain a value because Capital grants recognised in the year - equipment/estates is identified in Table_7_Wales.</t>
  </si>
  <si>
    <t>Table_9_UK (I17), Table_7_Wales (H12, H13)</t>
  </si>
  <si>
    <t>QR.C18031.Table9.13</t>
  </si>
  <si>
    <t>Total capital expenditure from Funding body grants is expected to contain a value because Capital grants recognised in the year is identified in Table_7_Scotland.</t>
  </si>
  <si>
    <t>Table_9_UK (I17), Table_7_Scotland (H11)</t>
  </si>
  <si>
    <t>QR.C18031.Table9.14</t>
  </si>
  <si>
    <t>Total capital expenditure from Funding body grants is expected to contain a value because Capital grants recognised in the year is identified in Table_7_N_Ireland.</t>
  </si>
  <si>
    <t>Table_9_UK (I17), Table_7_N_Ireland (H9)</t>
  </si>
  <si>
    <t>QR.C18031.Table9.15</t>
  </si>
  <si>
    <t>Total capital expenditure from Loans is expected to contain a value because Cash flows from financing activities - New secured loans and New unsecured loans is identified under cash flow in Table_4_UK.</t>
  </si>
  <si>
    <t>Table_9_UK (L17), Table_4_UK (H52, H53)</t>
  </si>
  <si>
    <t>QR.C18031.Table10.1</t>
  </si>
  <si>
    <t>Please complete the description for all items disclosed (current year).</t>
  </si>
  <si>
    <t>Table_10_UK (H6, H7, H8, H9, H10, H11, H15, H16, H17, H18, H19, H24, H25, H26, H27, H32, H33, H38, H39, H40, H41, H46, H47, H48, H49, H51, H55, H56)</t>
  </si>
  <si>
    <t>QR.C18031.Table10.2</t>
  </si>
  <si>
    <t xml:space="preserve">The disclosed item description (column K) must be blank if a value is not entered in column H (current year). </t>
  </si>
  <si>
    <t>Table_10_UK (K6, K7, K8, K9, K10, K11, K15, K16, K17, K18, K19, K24, K25, K26, K27, K32, K33, K38, K39, K40, K41, K46, K47, K48, K49, K51, K55, K56)</t>
  </si>
  <si>
    <t>QR.C18031.Table10.3</t>
  </si>
  <si>
    <t>Please complete the description for all items disclosed (restated year).</t>
  </si>
  <si>
    <t>Table_10_UK (I6, I7, I8, I9, I10, I11, I15, I16, I17, I18, I19, I24, I25, I26, I27, I32, I33, I38, I39, I40, I41, I46, I47, I48, I49, I51, I55, I56)</t>
  </si>
  <si>
    <t>QR.C18031.Table10.4</t>
  </si>
  <si>
    <t xml:space="preserve">The disclosed item description (column L) must be blank if a value is not entered in column I (restated year). </t>
  </si>
  <si>
    <t>Table_10_UK (L6, L7, L8, L9, L10, L11, L15, L16, L17, L18, L19, L24, L25, L26, L27, L32, L33, L38, L39, L40, L41, L46, L47, L48, L49, L51, L55, L56)</t>
  </si>
  <si>
    <t>QR.C18031.Table10.5</t>
  </si>
  <si>
    <t>There is a difference of values between the restated figures on Table 10.</t>
  </si>
  <si>
    <t>QR.C18031.Table11.1</t>
  </si>
  <si>
    <t>If Total remuneration is greater than zero then there should be a start date for the associated Head of provider.</t>
  </si>
  <si>
    <t>Table_11_UK (H33, I33, J33, K33, L33, M33, N33, O33, H7, J7, L7, N7)</t>
  </si>
  <si>
    <t>QR.C18031.Table11.2</t>
  </si>
  <si>
    <t>If Total remuneration is greater than zero for a previous Head of provider then there should also be an end date.</t>
  </si>
  <si>
    <t>Table_11_UK (J8, J33, K33, L8, L33, M33, N8, N33, O33)</t>
  </si>
  <si>
    <t>QR.C18031.Table11.3</t>
  </si>
  <si>
    <t>Current head of provider's end data should be blank unless greater than or equal to 31 July 2019.</t>
  </si>
  <si>
    <t>Table_11_UK (H8)</t>
  </si>
  <si>
    <t>QR.C18031.Table11.4</t>
  </si>
  <si>
    <t>Current head of provider's salary should be greater than zero.</t>
  </si>
  <si>
    <t>Table_11_UK (H10)</t>
  </si>
  <si>
    <t>QR.C18031.Table11.5</t>
  </si>
  <si>
    <t>If a head of provider's start date is after 31 July 2018 then Total remuneration for year ended 31 July 2018 should be zero.</t>
  </si>
  <si>
    <t>Table_11_UK (H7, I33, J7, K33, L7, M33, N7, O33)</t>
  </si>
  <si>
    <t>QR.C18031.Table11.6</t>
  </si>
  <si>
    <t>If a previous heads of provider's end date is before 31 July 2018 then Total remuneration for year ended 31 July 2019 should be zero.</t>
  </si>
  <si>
    <t>Table_11_UK (J8, J33, L8, L33, N8, N33)</t>
  </si>
  <si>
    <t>QR.C18031.Table11.7</t>
  </si>
  <si>
    <t>If it has been confirmed that university accommodation has been given a nil taxable value then there should be a value given for Living accommodation.</t>
  </si>
  <si>
    <t>Table_11_UK (H36, H26, I36, I26, J36, J26, K36, K26, L36, L26, M36, M26, N36, N26, O36, O26)</t>
  </si>
  <si>
    <t>QR.C18031.Table11.8</t>
  </si>
  <si>
    <t>Table_11_UK Head 10a Head of provider's basic salary divided by the median pay (salary) should not be zero (current head of provider).</t>
  </si>
  <si>
    <t>Table_11_UK (H42)</t>
  </si>
  <si>
    <t>QR.C18031.Table11.9</t>
  </si>
  <si>
    <t>Table_11_UK Head 10b Head of provider's total remuneration divided by the median total remuneration should not be zero (current head of provider).</t>
  </si>
  <si>
    <t>Table_11_UK (H43)</t>
  </si>
  <si>
    <t>QR.C18031.Table11.10</t>
  </si>
  <si>
    <t>Table_11_UK Head 3d Other taxable benefits: items must be specified in the text box if a value is entered.</t>
  </si>
  <si>
    <t>Table_11_UK (P22, Q22, R22)</t>
  </si>
  <si>
    <t>QR.C18031.Table11.11</t>
  </si>
  <si>
    <t>Table_11_UK Head 4c Other non-taxable benefits: items must be specified in the text box if a value is entered.</t>
  </si>
  <si>
    <t>Table_11_UK (P27, Q27, R27)</t>
  </si>
  <si>
    <t>QR.C18031.Table11.12</t>
  </si>
  <si>
    <t>Table_11_UK Head 5d Other remuneration: items must be specified in the text box if a value is entered.</t>
  </si>
  <si>
    <t>Table_11_UK (P32, Q32, R32)</t>
  </si>
  <si>
    <t>QR.C18031.Table11.14</t>
  </si>
  <si>
    <t>Table_11_UK Head 10a Head of provider's basic salary divided by the median pay (salary) should not be zero if Total Remuneration is greater than zero.</t>
  </si>
  <si>
    <t>Table_11_UK (I33, I42, J33, J42, K33, K42, L33, L42, M33, M42, N33, N42, 033, O42)</t>
  </si>
  <si>
    <t>QR.C18031.Table11.15</t>
  </si>
  <si>
    <t>Table_11_UK Head 10b Head of provider's total remuneration divided by the median total remuneration should not be zero if Total Remuneration is greater than zero.</t>
  </si>
  <si>
    <t>Table_11_UK (I33, I43, J33, J43, K33, K43, L33, L43, M33, M43, N33, N43, 033, O43)</t>
  </si>
  <si>
    <t>QR.C18031.Table12.1</t>
  </si>
  <si>
    <t>Table_12_UK Head 1f Total staff costs should equal Table_1_UK Head 2a Staff costs (current year).</t>
  </si>
  <si>
    <t>Table_12_UK (H14), Table_1_UK (H15)</t>
  </si>
  <si>
    <t>QR.C18031.Table12.2</t>
  </si>
  <si>
    <t>Table_12_UK Head 1f Total staff costs should equal Table_1_UK Head 2a Staff costs (restated year).</t>
  </si>
  <si>
    <t>Table_12_UK (I14), Table_1_UK (I15)</t>
  </si>
  <si>
    <t>QR.C18031.Table12.6</t>
  </si>
  <si>
    <t>If provider is in Scotland then Head 3 Totals (Headcount) should be zero.</t>
  </si>
  <si>
    <t>Table_12_UK (H20, I20)</t>
  </si>
  <si>
    <t>QR.C18031.Table13.1</t>
  </si>
  <si>
    <t>Table_13_UK Head 1a,1b and 1e Severance payments (compensation for loss of office to the head of provider) should be equal to Table_11_UK Head 2g (Head of provider remuneration).</t>
  </si>
  <si>
    <t>Table_13_UK (H6, H7, H10), Table_11_UK (P16)</t>
  </si>
  <si>
    <t>QR.C18031.Table13.2</t>
  </si>
  <si>
    <t>For the Year ended 31 July 2018, Table_13_UK Head 1a,1b and 1e Severance payments (compensation for loss of office to the head of provider) should be equal to Table_11_UK Head 2g (Head of provider remuneration).</t>
  </si>
  <si>
    <t>Table_13_UK (I6, I7, I10), Table_11_UK (Q16)</t>
  </si>
  <si>
    <t>QR.C18031.Table13.3</t>
  </si>
  <si>
    <t>Table_13_UK should not contain all zeros (current year).</t>
  </si>
  <si>
    <t>Table_13_UK (H6, H7, H8, H10, H14, H15, H17, H18)</t>
  </si>
  <si>
    <t>QR.C18031.Table13.4</t>
  </si>
  <si>
    <t>Total amount of compensation paid across the whole provider (Head 2ai) should be greater than zero.</t>
  </si>
  <si>
    <t>Table_13_UK (H14)</t>
  </si>
  <si>
    <t>QR.C18031.Table13.7</t>
  </si>
  <si>
    <t>Where there is a value entered for Head 1c Where the compensation includes benefits other than cash: estimated money value, then Head 1d should contain the nature of the benefit.</t>
  </si>
  <si>
    <t>Table_13_UK (H8, H9)</t>
  </si>
  <si>
    <t>QR.C18031.Table13.8</t>
  </si>
  <si>
    <t>Table_13_UK should not contain all zeros (restated year).</t>
  </si>
  <si>
    <t>Table_13_UK (I6, I7, I8, I10, I14, I15, I17, I18)</t>
  </si>
  <si>
    <t>QR.C18031.Table13.9</t>
  </si>
  <si>
    <t>Table_13_UK should contain all zeros if a nil return equals 'Yes' (current year).</t>
  </si>
  <si>
    <t>QR.C18031.Table13.10</t>
  </si>
  <si>
    <t>Table_13_UK should contain all zeros if a nil return equals 'Yes' (restated year).</t>
  </si>
  <si>
    <t>Table 1:</t>
  </si>
  <si>
    <t>Consolidated statement of comprehensive income and expenditure</t>
  </si>
  <si>
    <t>Last years figures have been populated below.</t>
  </si>
  <si>
    <t>Please restate any figures as required.</t>
  </si>
  <si>
    <t>These are not editable.</t>
  </si>
  <si>
    <t>This column will highlight below where there is a difference &gt;750k and a ratio &gt;2</t>
  </si>
  <si>
    <t>£000s</t>
  </si>
  <si>
    <t>Ratio</t>
  </si>
  <si>
    <t>Please select explanations for any significant variance from the drop down list below:</t>
  </si>
  <si>
    <t>Income</t>
  </si>
  <si>
    <t>Explanation</t>
  </si>
  <si>
    <t>1a</t>
  </si>
  <si>
    <t>Tuition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</si>
  <si>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</si>
  <si>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</si>
  <si>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</si>
  <si>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</si>
  <si>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</si>
  <si>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</si>
  <si>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</si>
  <si>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</si>
  <si>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</si>
  <si>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</si>
  <si>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</si>
  <si>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</si>
  <si>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</si>
  <si>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</si>
  <si>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</si>
  <si>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</si>
  <si>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Fundamental restructuring costs</t>
  </si>
  <si>
    <t>2c</t>
  </si>
  <si>
    <t>Other operating expenses</t>
  </si>
  <si>
    <t>2d</t>
  </si>
  <si>
    <t>Depreciation</t>
  </si>
  <si>
    <t>2e</t>
  </si>
  <si>
    <t>Interest and other finance costs</t>
  </si>
  <si>
    <t>2f</t>
  </si>
  <si>
    <t>Total expenditure</t>
  </si>
  <si>
    <t>Surplus/(deficit) before other gains/losses and share of surplus/(deficit) in joint ventures and associates</t>
  </si>
  <si>
    <t>Gain/(loss) on disposal of fixed assets</t>
  </si>
  <si>
    <t>Gain/(loss) on investments</t>
  </si>
  <si>
    <t>Share of operating surplus/(deficit) in joint venture(s)</t>
  </si>
  <si>
    <t>Share of operating surplus/(deficit) in associate(s)</t>
  </si>
  <si>
    <t>Surplus/(deficit) before tax</t>
  </si>
  <si>
    <t>Taxation</t>
  </si>
  <si>
    <t>Surplus/(deficit) for the year</t>
  </si>
  <si>
    <t xml:space="preserve">Unrealised surplus on revaluation of land and buildings </t>
  </si>
  <si>
    <t>Actuarial gain/(loss) in respect of pension schemes</t>
  </si>
  <si>
    <t>Change in fair value of hedging financial instrument(s) plus foreign currency translation</t>
  </si>
  <si>
    <t>Where 14 'Miscellaneous types of Other comprehensive income' has been completed, please detail below what items are included in this:</t>
  </si>
  <si>
    <t>Miscellaneous types of Other comprehensive income</t>
  </si>
  <si>
    <t xml:space="preserve">Total comprehensive income for the year </t>
  </si>
  <si>
    <t>Total comprehensive income for the year represented by:</t>
  </si>
  <si>
    <t>16a</t>
  </si>
  <si>
    <t>Endowment comprehensive income for the year</t>
  </si>
  <si>
    <t>16b</t>
  </si>
  <si>
    <t>Restricted comprehensive income for the year</t>
  </si>
  <si>
    <t>16c</t>
  </si>
  <si>
    <t xml:space="preserve">Unrestricted comprehensive income for the year </t>
  </si>
  <si>
    <t>16d</t>
  </si>
  <si>
    <t xml:space="preserve">Revaluation reserve comprehensive income for the year </t>
  </si>
  <si>
    <t>16e</t>
  </si>
  <si>
    <t>Attributable to the University</t>
  </si>
  <si>
    <t>16f</t>
  </si>
  <si>
    <t>Attributable to the non-controlling interest</t>
  </si>
  <si>
    <t>16g</t>
  </si>
  <si>
    <t>Total</t>
  </si>
  <si>
    <t>Surplus for the year attributable to:</t>
  </si>
  <si>
    <t>17a</t>
  </si>
  <si>
    <t>Non-controlling interest</t>
  </si>
  <si>
    <t>17b</t>
  </si>
  <si>
    <t>University</t>
  </si>
  <si>
    <t>All items of income and expenditure relate to continuing activities</t>
  </si>
  <si>
    <t>Table 3:</t>
  </si>
  <si>
    <t>Consolidated balance sheet</t>
  </si>
  <si>
    <t>Non-current assets</t>
  </si>
  <si>
    <t>Intangible assets</t>
  </si>
  <si>
    <t>Goodwill</t>
  </si>
  <si>
    <t>Negative goodwill</t>
  </si>
  <si>
    <t>Net amount of goodwill and negative goodwill</t>
  </si>
  <si>
    <t xml:space="preserve">Fixed assets </t>
  </si>
  <si>
    <t>Heritage assets</t>
  </si>
  <si>
    <t>Investments</t>
  </si>
  <si>
    <t>1h</t>
  </si>
  <si>
    <t>Investment in joint venture(s)</t>
  </si>
  <si>
    <t>1i</t>
  </si>
  <si>
    <t>Investments in associate(s)</t>
  </si>
  <si>
    <t>1j</t>
  </si>
  <si>
    <t>Total non-current assets</t>
  </si>
  <si>
    <t>Current assets</t>
  </si>
  <si>
    <t>Stock</t>
  </si>
  <si>
    <t xml:space="preserve">Trade and other receivables </t>
  </si>
  <si>
    <t xml:space="preserve">Cash and cash equivalents </t>
  </si>
  <si>
    <t>Accrued course fees</t>
  </si>
  <si>
    <t>Other (e.g. assets for resale)</t>
  </si>
  <si>
    <t>2g</t>
  </si>
  <si>
    <t>Total current assets</t>
  </si>
  <si>
    <t>Creditors - amounts falling due within one year</t>
  </si>
  <si>
    <t>3a</t>
  </si>
  <si>
    <t xml:space="preserve">Bank overdrafts </t>
  </si>
  <si>
    <t>3b</t>
  </si>
  <si>
    <t>Bank loans and external borrowing</t>
  </si>
  <si>
    <t>3c</t>
  </si>
  <si>
    <t>Obligations under finance leases and service concessions</t>
  </si>
  <si>
    <t>3d</t>
  </si>
  <si>
    <t>Deferred course fees</t>
  </si>
  <si>
    <t>3e</t>
  </si>
  <si>
    <t>Loans repayable to funding council</t>
  </si>
  <si>
    <t>3f</t>
  </si>
  <si>
    <t>Other (including grant claw back)</t>
  </si>
  <si>
    <t>3g</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</si>
  <si>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</si>
  <si>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</si>
  <si>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</si>
  <si>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</si>
  <si>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</si>
  <si>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</si>
  <si>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</si>
  <si>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</si>
  <si>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</si>
  <si>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7e</t>
  </si>
  <si>
    <t>Total creditors (amounts falling due after more than one year)</t>
  </si>
  <si>
    <t>Provisions</t>
  </si>
  <si>
    <t>8a</t>
  </si>
  <si>
    <t>Pension provisions</t>
  </si>
  <si>
    <t>8b</t>
  </si>
  <si>
    <t>Other provisions</t>
  </si>
  <si>
    <t>8c</t>
  </si>
  <si>
    <t>Total provisions</t>
  </si>
  <si>
    <t>Total net assets</t>
  </si>
  <si>
    <t>Restricted reserves</t>
  </si>
  <si>
    <t>10a</t>
  </si>
  <si>
    <t>Income and expenditure reserve - endowment reserve</t>
  </si>
  <si>
    <t>10b</t>
  </si>
  <si>
    <t>Income and expenditure reserve - restricted reserve</t>
  </si>
  <si>
    <t>Unrestricted reserves</t>
  </si>
  <si>
    <t>11a</t>
  </si>
  <si>
    <t xml:space="preserve">Income and expenditure reserve - unrestricted </t>
  </si>
  <si>
    <t>11b</t>
  </si>
  <si>
    <t>Revaluation reserve</t>
  </si>
  <si>
    <t>Total restricted and unrestricted reserves</t>
  </si>
  <si>
    <t>Total reserves</t>
  </si>
  <si>
    <t>Table 3_S:</t>
  </si>
  <si>
    <t>Consolidated balance sheet - Scotland</t>
  </si>
  <si>
    <t>Funds, from disposal of fixed assets, held for future fixed asset acquisitions</t>
  </si>
  <si>
    <t>Funds held for third parties</t>
  </si>
  <si>
    <t>Student support funds</t>
  </si>
  <si>
    <t>Other restricted funds</t>
  </si>
  <si>
    <t>Unrestricted funds</t>
  </si>
  <si>
    <t>Total investments</t>
  </si>
  <si>
    <t>Unrestricted cash</t>
  </si>
  <si>
    <t>Total cash and cash equivalents</t>
  </si>
  <si>
    <t>Table 4:</t>
  </si>
  <si>
    <t>Consolidated statement of cash flows</t>
  </si>
  <si>
    <t>Cash flow from operating activities</t>
  </si>
  <si>
    <t>Surplus for the year</t>
  </si>
  <si>
    <t>Adjustment for non-cash items</t>
  </si>
  <si>
    <t>Amortisation of intangibles</t>
  </si>
  <si>
    <t>Benefit on acquisition</t>
  </si>
  <si>
    <t>Amortisation of goodwill</t>
  </si>
  <si>
    <t>Loss/(gain) on investments</t>
  </si>
  <si>
    <t>Decrease/(increase) in stock</t>
  </si>
  <si>
    <t>Decrease/(increase) in debtors</t>
  </si>
  <si>
    <t>2h</t>
  </si>
  <si>
    <t>Increase/(decrease) in creditors</t>
  </si>
  <si>
    <t>2i</t>
  </si>
  <si>
    <t>Increase/(decrease) in pension provisions</t>
  </si>
  <si>
    <t>2j</t>
  </si>
  <si>
    <t>Increase/(decrease) in other provisions</t>
  </si>
  <si>
    <t>2k</t>
  </si>
  <si>
    <t>Receipt of donated equipment</t>
  </si>
  <si>
    <t>2l</t>
  </si>
  <si>
    <t>Share of operating surplus/(deficit) in joint venture</t>
  </si>
  <si>
    <t>2m</t>
  </si>
  <si>
    <t>Share of operating surplus/(deficit) in associate</t>
  </si>
  <si>
    <t>Where 2n 'Other' has been completed, please detail below what items are included in this:</t>
  </si>
  <si>
    <t>2n</t>
  </si>
  <si>
    <t>Adjustment for investing or financing activities</t>
  </si>
  <si>
    <t>Interest payable</t>
  </si>
  <si>
    <t>Endowment income</t>
  </si>
  <si>
    <t>Loss/(gain) on the sale of fixed assets</t>
  </si>
  <si>
    <t>Capital grant income</t>
  </si>
  <si>
    <t>Net cash inflow from operating activities</t>
  </si>
  <si>
    <t>Cash flows from investing activities</t>
  </si>
  <si>
    <t>5a</t>
  </si>
  <si>
    <t>Proceeds from sales of fixed assets</t>
  </si>
  <si>
    <t>5b</t>
  </si>
  <si>
    <t>Proceeds from sales of intangible assets</t>
  </si>
  <si>
    <t>5c</t>
  </si>
  <si>
    <t>Capital grants receipts</t>
  </si>
  <si>
    <t>5d</t>
  </si>
  <si>
    <t>Disposal of non-current asset investments</t>
  </si>
  <si>
    <t>5e</t>
  </si>
  <si>
    <t>Withdrawal of deposits</t>
  </si>
  <si>
    <t>5f</t>
  </si>
  <si>
    <t>5g</t>
  </si>
  <si>
    <t>Payments made to acquire fixed assets</t>
  </si>
  <si>
    <t>5h</t>
  </si>
  <si>
    <t>Payments made to acquire intangible assets</t>
  </si>
  <si>
    <t>5i</t>
  </si>
  <si>
    <t>New non-current asset investments</t>
  </si>
  <si>
    <t>5j</t>
  </si>
  <si>
    <t>New deposits</t>
  </si>
  <si>
    <t>Where 5k 'Other' has been completed, please detail below what items are included in this:</t>
  </si>
  <si>
    <t>5k</t>
  </si>
  <si>
    <t>5l</t>
  </si>
  <si>
    <t>Total cash flows from investing activities</t>
  </si>
  <si>
    <t>5m</t>
  </si>
  <si>
    <t xml:space="preserve">Of which: Endowment funds invested </t>
  </si>
  <si>
    <t>Note: Head 5m is not included in the calculation for Head 5l, so as not to double count, 
but is intended to pick up the extent to which Heads 5g to 5k have been funded from endowments.</t>
  </si>
  <si>
    <t>Cash flows from financing activities</t>
  </si>
  <si>
    <t>6a</t>
  </si>
  <si>
    <t>Interest paid</t>
  </si>
  <si>
    <t>6b</t>
  </si>
  <si>
    <t>Interest element of finance lease and service concession payments</t>
  </si>
  <si>
    <t>6c</t>
  </si>
  <si>
    <t>Endowment cash received</t>
  </si>
  <si>
    <t>6d</t>
  </si>
  <si>
    <t>New secured loans</t>
  </si>
  <si>
    <t>6e</t>
  </si>
  <si>
    <t>New unsecured loans</t>
  </si>
  <si>
    <t>6f</t>
  </si>
  <si>
    <t>Repayments of amounts borrowed</t>
  </si>
  <si>
    <t>6g</t>
  </si>
  <si>
    <t>Capital element of finance lease and service concession payments</t>
  </si>
  <si>
    <t>Where 6h 'Other' has been completed, please detail below what items are included in this:</t>
  </si>
  <si>
    <t>6h</t>
  </si>
  <si>
    <t>6i</t>
  </si>
  <si>
    <t>Total cash flows from financing activities</t>
  </si>
  <si>
    <t>(Decrease)/Increase in cash and cash equivalents in the year</t>
  </si>
  <si>
    <t>Cash and cash equivalents at beginning of the year</t>
  </si>
  <si>
    <t>Cash and cash equivalents at the end of the year</t>
  </si>
  <si>
    <t>Table 5:</t>
  </si>
  <si>
    <t>Research grants and contracts - breakdown by source of income and HESA cost centre</t>
  </si>
  <si>
    <t>1 - Department for Business, Energy and Industrial Strategy Research Councils, The Royal Society, British Academy and The Royal Society of Edinburgh</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</si>
  <si>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</si>
  <si>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</si>
  <si>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</si>
  <si>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</si>
  <si>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</si>
  <si>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</si>
  <si>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</si>
  <si>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</si>
  <si>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Total Research Councils</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</si>
  <si>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</si>
  <si>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</si>
  <si>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</si>
  <si>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</si>
  <si>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</si>
  <si>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</si>
  <si>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</si>
  <si>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</si>
  <si>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</si>
  <si>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</si>
  <si>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</si>
  <si>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</si>
  <si>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</si>
  <si>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</si>
  <si>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</si>
  <si>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</si>
  <si>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&amp; allied health professions</t>
  </si>
  <si>
    <t>104 Psychology &amp; behavioural sciences</t>
  </si>
  <si>
    <t>105 Health &amp; community studies</t>
  </si>
  <si>
    <t>106 Anatomy &amp; physiology</t>
  </si>
  <si>
    <t>107 Pharmacy &amp; pharmacology</t>
  </si>
  <si>
    <t>108 Sports science &amp; leisure studies</t>
  </si>
  <si>
    <t>109 Veterinary science</t>
  </si>
  <si>
    <t>110 Agriculture, forestry &amp; food science</t>
  </si>
  <si>
    <t>1k</t>
  </si>
  <si>
    <t>111 Earth, marine &amp; environmental sciences</t>
  </si>
  <si>
    <t>1l</t>
  </si>
  <si>
    <t>112 Biosciences</t>
  </si>
  <si>
    <t>1m</t>
  </si>
  <si>
    <t>113 Chemistry</t>
  </si>
  <si>
    <t>1n</t>
  </si>
  <si>
    <t>114 Physics</t>
  </si>
  <si>
    <t>1o</t>
  </si>
  <si>
    <t>115 General engineering</t>
  </si>
  <si>
    <t>1p</t>
  </si>
  <si>
    <t>116 Chemical engineering</t>
  </si>
  <si>
    <t>1q</t>
  </si>
  <si>
    <t>117 Mineral, metallurgy &amp; materials engineering</t>
  </si>
  <si>
    <t>1r</t>
  </si>
  <si>
    <t>118 Civil engineering</t>
  </si>
  <si>
    <t>1s</t>
  </si>
  <si>
    <t>119 Electrical, electronic &amp; computer engineering</t>
  </si>
  <si>
    <t>1t</t>
  </si>
  <si>
    <t>120 Mechanical, aero &amp; production engineering</t>
  </si>
  <si>
    <t>1u</t>
  </si>
  <si>
    <t>121 IT, systems sciences &amp; computer software engineering</t>
  </si>
  <si>
    <t>1v</t>
  </si>
  <si>
    <t>122 Mathematics</t>
  </si>
  <si>
    <t>1w</t>
  </si>
  <si>
    <t>123 Architecture, built environment &amp; planning</t>
  </si>
  <si>
    <t>1x</t>
  </si>
  <si>
    <t>124 Geography &amp; environmental studies</t>
  </si>
  <si>
    <t>1y</t>
  </si>
  <si>
    <t>125 Area studies</t>
  </si>
  <si>
    <t>1z</t>
  </si>
  <si>
    <t>126 Archaeology</t>
  </si>
  <si>
    <t>1aa</t>
  </si>
  <si>
    <t>127 Anthropology &amp; development studies</t>
  </si>
  <si>
    <t>1ab</t>
  </si>
  <si>
    <t>128 Politics &amp; international studies</t>
  </si>
  <si>
    <t>1ac</t>
  </si>
  <si>
    <t>129 Economics &amp; econometrics</t>
  </si>
  <si>
    <t>1ad</t>
  </si>
  <si>
    <t>130 Law</t>
  </si>
  <si>
    <t>1ae</t>
  </si>
  <si>
    <t>131 Social work &amp; social policy</t>
  </si>
  <si>
    <t>1af</t>
  </si>
  <si>
    <t>132 Sociology</t>
  </si>
  <si>
    <t>1ag</t>
  </si>
  <si>
    <t>133 Business &amp; management studies</t>
  </si>
  <si>
    <t>1ah</t>
  </si>
  <si>
    <t>134 Catering &amp; hospitality management</t>
  </si>
  <si>
    <t>1ai</t>
  </si>
  <si>
    <t>135 Education</t>
  </si>
  <si>
    <t>1aj</t>
  </si>
  <si>
    <t>136 Continuing education</t>
  </si>
  <si>
    <t>1ak</t>
  </si>
  <si>
    <t>137 Modern languages</t>
  </si>
  <si>
    <t>1al</t>
  </si>
  <si>
    <t>138 English language &amp; literature</t>
  </si>
  <si>
    <t>1am</t>
  </si>
  <si>
    <t>139 History</t>
  </si>
  <si>
    <t>1an</t>
  </si>
  <si>
    <t>140 Classics</t>
  </si>
  <si>
    <t>1ao</t>
  </si>
  <si>
    <t>141 Philosophy</t>
  </si>
  <si>
    <t>1ap</t>
  </si>
  <si>
    <t>142 Theology &amp; religious studies</t>
  </si>
  <si>
    <t>1aq</t>
  </si>
  <si>
    <t>143 Art &amp; design</t>
  </si>
  <si>
    <t>1ar</t>
  </si>
  <si>
    <t>144 Music, dance, drama &amp; performing arts</t>
  </si>
  <si>
    <t>1as</t>
  </si>
  <si>
    <t>145 Media studies</t>
  </si>
  <si>
    <t>1at</t>
  </si>
  <si>
    <t>Total academic departments</t>
  </si>
  <si>
    <t>201 Total academic services</t>
  </si>
  <si>
    <t>Administration &amp; central services</t>
  </si>
  <si>
    <t>202 Central administration &amp; services</t>
  </si>
  <si>
    <t>203 General educational expenditure</t>
  </si>
  <si>
    <t>204 Staff &amp; student facilities</t>
  </si>
  <si>
    <t>Total administration &amp; central services</t>
  </si>
  <si>
    <t>207 Total research grants and contracts</t>
  </si>
  <si>
    <t>Co-investment from external sources on funding council-funded projects (included in Heads 1 to 4 above)</t>
  </si>
  <si>
    <t>Table 6:</t>
  </si>
  <si>
    <t>Tuition fees and education contracts analysed by domicile, mode, level and source</t>
  </si>
  <si>
    <t xml:space="preserve">
Please restate any figures as required.</t>
  </si>
  <si>
    <t>Source of fee</t>
  </si>
  <si>
    <t>Student Loans Company / Local Education Authorities / Student Awards Agency Scotland / Department for the Economy (NI)</t>
  </si>
  <si>
    <t>Department of Health and Social Care / Local Education and Training Board / Scottish Health Directorate/ Health Education and Improvement Wales</t>
  </si>
  <si>
    <t>SLC/LEAs/ SAAS/DfE(NI)</t>
  </si>
  <si>
    <t>DH/LETB/Scottish Health Directorate/WEDS</t>
  </si>
  <si>
    <t>This column will highlight below where there is a difference in the Total&gt;750k and a ratio &gt;5</t>
  </si>
  <si>
    <t>HE course fees</t>
  </si>
  <si>
    <t>(25 maximum)</t>
  </si>
  <si>
    <t>i</t>
  </si>
  <si>
    <t>Full-time undergraduate</t>
  </si>
  <si>
    <t>ii</t>
  </si>
  <si>
    <t>Full-time PGCE</t>
  </si>
  <si>
    <t>iii</t>
  </si>
  <si>
    <t>Full-time postgraduate taught (excl. PGCE)</t>
  </si>
  <si>
    <t>iv</t>
  </si>
  <si>
    <t>Full-time postgraduate research</t>
  </si>
  <si>
    <t>v</t>
  </si>
  <si>
    <t>Part-time undergraduate</t>
  </si>
  <si>
    <t>vi</t>
  </si>
  <si>
    <t>Part-time postgraduate taught</t>
  </si>
  <si>
    <t>vii</t>
  </si>
  <si>
    <t>Part-time postgraduate research</t>
  </si>
  <si>
    <t>viii</t>
  </si>
  <si>
    <t>Total Home fees</t>
  </si>
  <si>
    <t>Total Rest of UK fees</t>
  </si>
  <si>
    <t>UK domicile students</t>
  </si>
  <si>
    <t>Total UK fees</t>
  </si>
  <si>
    <t>Other EU domicile students</t>
  </si>
  <si>
    <t>Total Other EU fees</t>
  </si>
  <si>
    <t>Total UK and EU fees</t>
  </si>
  <si>
    <t>Non-EU domicile students</t>
  </si>
  <si>
    <t>//////////</t>
  </si>
  <si>
    <t>Total Non-EU fees</t>
  </si>
  <si>
    <t>Total HE course fees</t>
  </si>
  <si>
    <t>Non-credit bearing course fees</t>
  </si>
  <si>
    <t>FE course fees</t>
  </si>
  <si>
    <t>Research training support grants</t>
  </si>
  <si>
    <t>4a</t>
  </si>
  <si>
    <t>Income for general research studentships from charities (open competitive process)</t>
  </si>
  <si>
    <t>4b</t>
  </si>
  <si>
    <t>Other research training support grants</t>
  </si>
  <si>
    <t>4c</t>
  </si>
  <si>
    <t>Total research training support grants</t>
  </si>
  <si>
    <t>Total tuition fees and education contracts</t>
  </si>
  <si>
    <t>HE course fees (Wales only)</t>
  </si>
  <si>
    <t>Transnational education in EU included in the above</t>
  </si>
  <si>
    <t>Transnational education overseas included in the above</t>
  </si>
  <si>
    <t>Table 7:</t>
  </si>
  <si>
    <t>Income analysed by source</t>
  </si>
  <si>
    <t>BEIS Research Councils, The Royal Society, British Academy and The Royal Society of Edinburgh</t>
  </si>
  <si>
    <t>Biotechnology and Biological Sciences Research Council (BBSRC)</t>
  </si>
  <si>
    <t>Medical Research Council (MRC)</t>
  </si>
  <si>
    <t>Natural Environment Research Council (NERC)</t>
  </si>
  <si>
    <t>Engineering and Physical Sciences Research Council (EPSRC)</t>
  </si>
  <si>
    <t>Economic and Social Research Council (ESRC)</t>
  </si>
  <si>
    <t>Arts and Humanities Research Council (AHRC)</t>
  </si>
  <si>
    <t>Science and Technology Facilities Council (STFC)</t>
  </si>
  <si>
    <t>UK Research and Innovation (UKRI)</t>
  </si>
  <si>
    <t>vix</t>
  </si>
  <si>
    <t>ix</t>
  </si>
  <si>
    <t xml:space="preserve">Total BEIS Research Councils, The Royal Society, British Academy and The Royal Society of Edinburgh </t>
  </si>
  <si>
    <t>3h</t>
  </si>
  <si>
    <t>3i</t>
  </si>
  <si>
    <t>3j</t>
  </si>
  <si>
    <t>3k</t>
  </si>
  <si>
    <t>3l</t>
  </si>
  <si>
    <t>3m</t>
  </si>
  <si>
    <t>3n</t>
  </si>
  <si>
    <t>3o</t>
  </si>
  <si>
    <t>Total research grants and contracts</t>
  </si>
  <si>
    <t>Other services rendered</t>
  </si>
  <si>
    <t>BEIS Research Councils, UK central government/local authorities, health and hospital authorities, EU government bodies</t>
  </si>
  <si>
    <t>EU sources (excluding EU government bodies)</t>
  </si>
  <si>
    <t>Total other services rendered</t>
  </si>
  <si>
    <t xml:space="preserve">Residences, conferences and catering operations </t>
  </si>
  <si>
    <t>Residences operations</t>
  </si>
  <si>
    <t>Catering and Conference operations</t>
  </si>
  <si>
    <t>Total residences and catering operations (including conferences)</t>
  </si>
  <si>
    <t>Grants from local authorities</t>
  </si>
  <si>
    <t>4d</t>
  </si>
  <si>
    <t>Income from health and hospital authorities (excluding teaching contracts for student provision)</t>
  </si>
  <si>
    <t>4e</t>
  </si>
  <si>
    <t>Other EU grant income</t>
  </si>
  <si>
    <t>4f</t>
  </si>
  <si>
    <t>Capital grants recognised in the year</t>
  </si>
  <si>
    <t>4g</t>
  </si>
  <si>
    <t>Income from intellectual property rights</t>
  </si>
  <si>
    <t>4h</t>
  </si>
  <si>
    <t>Other operating income</t>
  </si>
  <si>
    <t>4i</t>
  </si>
  <si>
    <t>Total other income</t>
  </si>
  <si>
    <t>Total income before donations and endowments</t>
  </si>
  <si>
    <t>New endowments</t>
  </si>
  <si>
    <t>Donations with restrictions</t>
  </si>
  <si>
    <t>Unrestricted donations</t>
  </si>
  <si>
    <t>Total donations and endowments</t>
  </si>
  <si>
    <t>Table 7_W:</t>
  </si>
  <si>
    <t>Funding body grants - Wales</t>
  </si>
  <si>
    <t>Providers in Wales only:</t>
  </si>
  <si>
    <t>Teaching grant - full-time UG provision (including PGCE and premia and per capita funding)</t>
  </si>
  <si>
    <t>Teaching grant - full-time PG provision (including premia and per capita funding)</t>
  </si>
  <si>
    <t>Teaching grant - part-time UG provision (including premia and per capita funding)</t>
  </si>
  <si>
    <t>Teaching grant - part-time PG provision (including premia and per capita funding)</t>
  </si>
  <si>
    <t>QR and PGR funding</t>
  </si>
  <si>
    <t>Non formula funding grant</t>
  </si>
  <si>
    <t>Capital grants recognised in the year - equipment</t>
  </si>
  <si>
    <t>Capital grants recognised in the year - estates</t>
  </si>
  <si>
    <t>DfES recurrent grants</t>
  </si>
  <si>
    <t>Total WEFO funding receivable in the year</t>
  </si>
  <si>
    <t>Welsh European Funding Office (WEFO) grants</t>
  </si>
  <si>
    <t>Table 7_S:</t>
  </si>
  <si>
    <t>Funding body grants - Scotland</t>
  </si>
  <si>
    <t>Providers in Scotland only:</t>
  </si>
  <si>
    <t>General fund teaching</t>
  </si>
  <si>
    <t>General fund research and knowledge exchange</t>
  </si>
  <si>
    <t>Ring-fenced grants</t>
  </si>
  <si>
    <t>Strategic funds</t>
  </si>
  <si>
    <t>SFC capital maintenance grant</t>
  </si>
  <si>
    <t>Grants for FE provision</t>
  </si>
  <si>
    <t>Total funding body grants</t>
  </si>
  <si>
    <t>Table 7_NI:</t>
  </si>
  <si>
    <t>Funding body grants - Northern Ireland</t>
  </si>
  <si>
    <t>Providers in Northern Ireland only:</t>
  </si>
  <si>
    <t>Recurrent (teaching)</t>
  </si>
  <si>
    <t>Recurrent (research)</t>
  </si>
  <si>
    <t>Recurrent - other (including non-recurrent special funding)</t>
  </si>
  <si>
    <t>Table 8:</t>
  </si>
  <si>
    <t>Expenditure -  breakdown by activity and HESA cost centre</t>
  </si>
  <si>
    <t xml:space="preserve">Academic staff costs </t>
  </si>
  <si>
    <t>Other staff costs</t>
  </si>
  <si>
    <t>Total staff costs</t>
  </si>
  <si>
    <t>///////////</t>
  </si>
  <si>
    <t>203 General education expenditure</t>
  </si>
  <si>
    <t>National Bursaries</t>
  </si>
  <si>
    <t>Provider specific (including departmental) bursaries and scholarships</t>
  </si>
  <si>
    <t>Other general expenditure</t>
  </si>
  <si>
    <t>Premises</t>
  </si>
  <si>
    <t>Repairs and maintenance</t>
  </si>
  <si>
    <t>Other expenditure</t>
  </si>
  <si>
    <t>205 Total premises</t>
  </si>
  <si>
    <t>Residences and catering operations (including conferences)</t>
  </si>
  <si>
    <t>Catering operations</t>
  </si>
  <si>
    <t>206 Total residences and catering operations (including conferences)</t>
  </si>
  <si>
    <t>x</t>
  </si>
  <si>
    <t>Total BEIS Research Councils, The Royal Society, British Academy and The Royal Society of Edinburgh</t>
  </si>
  <si>
    <t>6j</t>
  </si>
  <si>
    <t>6k</t>
  </si>
  <si>
    <t>6l</t>
  </si>
  <si>
    <t>6m</t>
  </si>
  <si>
    <t>6n</t>
  </si>
  <si>
    <t>Pension cost adjustment</t>
  </si>
  <si>
    <t xml:space="preserve">Other </t>
  </si>
  <si>
    <t>208 Total other expenditure</t>
  </si>
  <si>
    <t>Table 9:</t>
  </si>
  <si>
    <t>Capital expenditure</t>
  </si>
  <si>
    <t>Source of funds</t>
  </si>
  <si>
    <t>Total actual spend</t>
  </si>
  <si>
    <t>Retained proceeds of sales</t>
  </si>
  <si>
    <t>Internal funds</t>
  </si>
  <si>
    <t>Loans</t>
  </si>
  <si>
    <t>Leasing</t>
  </si>
  <si>
    <t>PFI</t>
  </si>
  <si>
    <t>Other external sources</t>
  </si>
  <si>
    <t>Buildings</t>
  </si>
  <si>
    <t>Equipment</t>
  </si>
  <si>
    <t>Other operations</t>
  </si>
  <si>
    <t>Total capital expenditure</t>
  </si>
  <si>
    <t>Table 10:</t>
  </si>
  <si>
    <t>Separately disclosed material items from the audited financial statement of comprehensive income and expenditure</t>
  </si>
  <si>
    <t xml:space="preserve"> 'Material' items disclosed separately in the published accounts should be returned here. Where more than one disclosed item sits under a single head, the amounts should be summed, and the description should comprise all items summed.</t>
  </si>
  <si>
    <t>Hide these columns</t>
  </si>
  <si>
    <t>Disclosed item(s)</t>
  </si>
  <si>
    <t>QR.C18031.Table10.1 Result</t>
  </si>
  <si>
    <t>Cell displayed if rule triggers</t>
  </si>
  <si>
    <t>QR.C18031.Table10.2 Result</t>
  </si>
  <si>
    <t>QR.C18031.Table10.3 Result</t>
  </si>
  <si>
    <t>QR.C18031.Table10.4 Result</t>
  </si>
  <si>
    <t xml:space="preserve">H6, </t>
  </si>
  <si>
    <t xml:space="preserve">L6, </t>
  </si>
  <si>
    <t xml:space="preserve">I6, </t>
  </si>
  <si>
    <t xml:space="preserve">M6, </t>
  </si>
  <si>
    <t xml:space="preserve">H7, </t>
  </si>
  <si>
    <t xml:space="preserve">L7, </t>
  </si>
  <si>
    <t xml:space="preserve">I7, </t>
  </si>
  <si>
    <t xml:space="preserve">M7, </t>
  </si>
  <si>
    <t xml:space="preserve">H8, </t>
  </si>
  <si>
    <t xml:space="preserve">L8, </t>
  </si>
  <si>
    <t xml:space="preserve">I8, </t>
  </si>
  <si>
    <t xml:space="preserve">M8, </t>
  </si>
  <si>
    <t xml:space="preserve">H9, </t>
  </si>
  <si>
    <t xml:space="preserve">L9, </t>
  </si>
  <si>
    <t xml:space="preserve">I9, </t>
  </si>
  <si>
    <t xml:space="preserve">M9, </t>
  </si>
  <si>
    <t xml:space="preserve">H10, </t>
  </si>
  <si>
    <t xml:space="preserve">L10, </t>
  </si>
  <si>
    <t xml:space="preserve">I10, </t>
  </si>
  <si>
    <t xml:space="preserve">M10, </t>
  </si>
  <si>
    <t xml:space="preserve">H11, </t>
  </si>
  <si>
    <t xml:space="preserve">L11, </t>
  </si>
  <si>
    <t xml:space="preserve">I11, </t>
  </si>
  <si>
    <t xml:space="preserve">M11, </t>
  </si>
  <si>
    <t xml:space="preserve">H15, </t>
  </si>
  <si>
    <t xml:space="preserve">L15, </t>
  </si>
  <si>
    <t xml:space="preserve">I15, </t>
  </si>
  <si>
    <t xml:space="preserve">M15, </t>
  </si>
  <si>
    <t xml:space="preserve">H16, </t>
  </si>
  <si>
    <t xml:space="preserve">L16, </t>
  </si>
  <si>
    <t xml:space="preserve">I16, </t>
  </si>
  <si>
    <t xml:space="preserve">M16, </t>
  </si>
  <si>
    <t xml:space="preserve">H17, </t>
  </si>
  <si>
    <t>L17,</t>
  </si>
  <si>
    <t xml:space="preserve">I17, </t>
  </si>
  <si>
    <t>M17,</t>
  </si>
  <si>
    <t xml:space="preserve">H18, </t>
  </si>
  <si>
    <t>L18,</t>
  </si>
  <si>
    <t xml:space="preserve">I18, </t>
  </si>
  <si>
    <t>M18,</t>
  </si>
  <si>
    <t xml:space="preserve">H19, </t>
  </si>
  <si>
    <t>L19,</t>
  </si>
  <si>
    <t xml:space="preserve">I19, </t>
  </si>
  <si>
    <t>M19,</t>
  </si>
  <si>
    <t xml:space="preserve">H24, </t>
  </si>
  <si>
    <t xml:space="preserve">L24, </t>
  </si>
  <si>
    <t xml:space="preserve">I24, </t>
  </si>
  <si>
    <t xml:space="preserve">M24, </t>
  </si>
  <si>
    <t xml:space="preserve">H25, </t>
  </si>
  <si>
    <t>L25,</t>
  </si>
  <si>
    <t xml:space="preserve">I25, </t>
  </si>
  <si>
    <t>M25,</t>
  </si>
  <si>
    <t xml:space="preserve">H26, </t>
  </si>
  <si>
    <t>L26,</t>
  </si>
  <si>
    <t xml:space="preserve">I26, </t>
  </si>
  <si>
    <t>M26,</t>
  </si>
  <si>
    <t xml:space="preserve">H27, </t>
  </si>
  <si>
    <t>L27,</t>
  </si>
  <si>
    <t xml:space="preserve">I27, </t>
  </si>
  <si>
    <t>M27,</t>
  </si>
  <si>
    <t>9a</t>
  </si>
  <si>
    <t>Taxation on research and development expenditure credit</t>
  </si>
  <si>
    <t xml:space="preserve">H32, </t>
  </si>
  <si>
    <t xml:space="preserve">L32, </t>
  </si>
  <si>
    <t xml:space="preserve">I32, </t>
  </si>
  <si>
    <t xml:space="preserve">M32, </t>
  </si>
  <si>
    <t>9b</t>
  </si>
  <si>
    <t>Other taxation</t>
  </si>
  <si>
    <t xml:space="preserve">H33, </t>
  </si>
  <si>
    <t xml:space="preserve">L33, </t>
  </si>
  <si>
    <t xml:space="preserve">I33, </t>
  </si>
  <si>
    <t xml:space="preserve">M33, </t>
  </si>
  <si>
    <t>9c</t>
  </si>
  <si>
    <t>Total taxation</t>
  </si>
  <si>
    <t xml:space="preserve">H38, </t>
  </si>
  <si>
    <t xml:space="preserve">L38, </t>
  </si>
  <si>
    <t xml:space="preserve">I38, </t>
  </si>
  <si>
    <t xml:space="preserve">M38, </t>
  </si>
  <si>
    <t xml:space="preserve">H39, </t>
  </si>
  <si>
    <t xml:space="preserve">L39, </t>
  </si>
  <si>
    <t xml:space="preserve">I39, </t>
  </si>
  <si>
    <t xml:space="preserve">M39, </t>
  </si>
  <si>
    <t>Change in fair value of hedging financial instrument(s)</t>
  </si>
  <si>
    <t xml:space="preserve">H40, </t>
  </si>
  <si>
    <t xml:space="preserve">L40, </t>
  </si>
  <si>
    <t xml:space="preserve">I40, </t>
  </si>
  <si>
    <t xml:space="preserve">M40, </t>
  </si>
  <si>
    <t xml:space="preserve">H41, </t>
  </si>
  <si>
    <t xml:space="preserve">L41, </t>
  </si>
  <si>
    <t xml:space="preserve">I41, </t>
  </si>
  <si>
    <t xml:space="preserve">M41, </t>
  </si>
  <si>
    <t xml:space="preserve">H46, </t>
  </si>
  <si>
    <t xml:space="preserve">L46, </t>
  </si>
  <si>
    <t xml:space="preserve">I46, </t>
  </si>
  <si>
    <t xml:space="preserve">M46, </t>
  </si>
  <si>
    <t xml:space="preserve">H47, </t>
  </si>
  <si>
    <t xml:space="preserve">L47, </t>
  </si>
  <si>
    <t xml:space="preserve">I47, </t>
  </si>
  <si>
    <t xml:space="preserve">M47, </t>
  </si>
  <si>
    <t xml:space="preserve">H48, </t>
  </si>
  <si>
    <t xml:space="preserve">L48, </t>
  </si>
  <si>
    <t xml:space="preserve">I48, </t>
  </si>
  <si>
    <t xml:space="preserve">M48, </t>
  </si>
  <si>
    <t xml:space="preserve">Revaluation reserves comprehensive income for the year </t>
  </si>
  <si>
    <t xml:space="preserve">H49, </t>
  </si>
  <si>
    <t xml:space="preserve">L49, </t>
  </si>
  <si>
    <t xml:space="preserve">I49, </t>
  </si>
  <si>
    <t xml:space="preserve">M49, </t>
  </si>
  <si>
    <t xml:space="preserve">H51, </t>
  </si>
  <si>
    <t xml:space="preserve">L51, </t>
  </si>
  <si>
    <t xml:space="preserve">I51, </t>
  </si>
  <si>
    <t xml:space="preserve">M51, </t>
  </si>
  <si>
    <t>Total comprehensive income for the year attributable to:</t>
  </si>
  <si>
    <t xml:space="preserve">H55, </t>
  </si>
  <si>
    <t xml:space="preserve">L55, </t>
  </si>
  <si>
    <t xml:space="preserve">I55, </t>
  </si>
  <si>
    <t xml:space="preserve">M55, </t>
  </si>
  <si>
    <t xml:space="preserve">H56, </t>
  </si>
  <si>
    <t xml:space="preserve">L56, </t>
  </si>
  <si>
    <t xml:space="preserve">I56, </t>
  </si>
  <si>
    <t xml:space="preserve">M56, </t>
  </si>
  <si>
    <t>Table 11:</t>
  </si>
  <si>
    <t>Head of provider remuneration</t>
  </si>
  <si>
    <r>
      <rPr>
        <b/>
        <sz val="12"/>
        <color theme="0"/>
        <rFont val="Arial"/>
        <family val="2"/>
      </rPr>
      <t>Guidance:</t>
    </r>
    <r>
      <rPr>
        <sz val="12"/>
        <color theme="0"/>
        <rFont val="Arial"/>
        <family val="2"/>
      </rPr>
      <t xml:space="preserve">
Please record separately the remuneration information for every serving head of provider during the financial years 2018-19 and 2017-18.
Please include all dates, even those falling outside the two financial years, e.g. if head of provider started on 1 January 2015, please enter this as start date.</t>
    </r>
  </si>
  <si>
    <t>Head of provider at 
31 July 2019</t>
  </si>
  <si>
    <t>Previous Head of provider (1)</t>
  </si>
  <si>
    <t>Previous Head of provider (2)</t>
  </si>
  <si>
    <t>Previous Head of provider (3)</t>
  </si>
  <si>
    <t>If the head of provider who was serving on 31 July 2019 has subsequently left, please include the date they actually left. 
Please leave the end date blank for the head of provider at 31 July 2019, if this individual remains in position at date of submission of the HESA finance record.</t>
  </si>
  <si>
    <t xml:space="preserve"> - comments entered (1=yes, 0=no)</t>
  </si>
  <si>
    <t>Name of individuals serving as head of provider during the two years</t>
  </si>
  <si>
    <t>Type name here</t>
  </si>
  <si>
    <t>/////////////////////////</t>
  </si>
  <si>
    <t>Start date of service (YYYY-MM-DD)</t>
  </si>
  <si>
    <t>End date of service (YYYY-MM-DD)</t>
  </si>
  <si>
    <t>Basic salary</t>
  </si>
  <si>
    <t>Payment of dividends</t>
  </si>
  <si>
    <t>Performance related pay and other bonuses</t>
  </si>
  <si>
    <t>Pension contributions and payments in lieu of pension contributions</t>
  </si>
  <si>
    <t>Salary sacrifice arrangements</t>
  </si>
  <si>
    <t xml:space="preserve">Salary in lieu of pension </t>
  </si>
  <si>
    <t xml:space="preserve">Compensation for loss of office </t>
  </si>
  <si>
    <t>Any sums paid under any pension scheme in relation to employment with the provider</t>
  </si>
  <si>
    <t>Other taxable benefits</t>
  </si>
  <si>
    <t>Company cars</t>
  </si>
  <si>
    <t>Subsidised loans including mortgage subsidies</t>
  </si>
  <si>
    <t>Subsidised accommodation</t>
  </si>
  <si>
    <t xml:space="preserve">Where 3d 'Other taxable benefits' has been completed, please detail below what items are included in this: </t>
  </si>
  <si>
    <t>Sub-total of other taxable benefits</t>
  </si>
  <si>
    <t>Non-taxable benefits</t>
  </si>
  <si>
    <t>Contributions to relocation costs</t>
  </si>
  <si>
    <t>Living accommodation</t>
  </si>
  <si>
    <t xml:space="preserve">Where 4c 'Other non-taxable benefits' has been completed, please detail below what items are included in this: </t>
  </si>
  <si>
    <t>Other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</si>
  <si>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</si>
  <si>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</si>
  <si>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</si>
  <si>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</si>
  <si>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 xml:space="preserve">Where 5d 'Other remuneration' has been completed, please detail below what items are included in this: </t>
  </si>
  <si>
    <t>Total remuneration</t>
  </si>
  <si>
    <t>Was the individual provided with University accommodation ? (Yes/No)</t>
  </si>
  <si>
    <t>Please confirm if this has been given a nil taxable value in the above table ? (Yes/No)</t>
  </si>
  <si>
    <t>Please use the text box if you wish to provide any commentary in support of the data returned in this table</t>
  </si>
  <si>
    <t>Text box</t>
  </si>
  <si>
    <t>Current 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</si>
  <si>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</si>
  <si>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</si>
  <si>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</si>
  <si>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Table 12:</t>
  </si>
  <si>
    <t>Analysis of staff costs</t>
  </si>
  <si>
    <t>FTE</t>
  </si>
  <si>
    <t xml:space="preserve">Salaries and wages </t>
  </si>
  <si>
    <t>Social security costs</t>
  </si>
  <si>
    <t>Employer Universities Superannuation Scheme costs</t>
  </si>
  <si>
    <t>Employer Teachers' Pension Scheme costs</t>
  </si>
  <si>
    <t>Employer Local Government Pension Scheme costs</t>
  </si>
  <si>
    <t>Employer Other pension costs</t>
  </si>
  <si>
    <t>Changes to pension provisions</t>
  </si>
  <si>
    <t xml:space="preserve">Other staff related costs </t>
  </si>
  <si>
    <t xml:space="preserve">Total staff costs </t>
  </si>
  <si>
    <t>Average staff numbers</t>
  </si>
  <si>
    <t>Average staff numbers (FTE) as disclosed in accounts</t>
  </si>
  <si>
    <t>Remuneration of higher paid staff excluding head of provider, but including funding from external sources including NHS (Not required for Scottish providers)</t>
  </si>
  <si>
    <t>Headcount
(N IRELAND and WALES ONLY)</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</si>
  <si>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</si>
  <si>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</si>
  <si>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</si>
  <si>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</si>
  <si>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</si>
  <si>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</si>
  <si>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</si>
  <si>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</si>
  <si>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</si>
  <si>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</si>
  <si>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</si>
  <si>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</si>
  <si>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</si>
  <si>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</si>
  <si>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</si>
  <si>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</si>
  <si>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</si>
  <si>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</si>
  <si>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</si>
  <si>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</si>
  <si>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</si>
  <si>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</si>
  <si>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</si>
  <si>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</si>
  <si>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</si>
  <si>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</si>
  <si>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</si>
  <si>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</si>
  <si>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</si>
  <si>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</si>
  <si>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</si>
  <si>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</si>
  <si>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</si>
  <si>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</si>
  <si>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</si>
  <si>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</si>
  <si>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</si>
  <si>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</si>
  <si>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</si>
  <si>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</si>
  <si>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</si>
  <si>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</si>
  <si>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</si>
  <si>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</si>
  <si>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</si>
  <si>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</si>
  <si>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</si>
  <si>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</si>
  <si>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</si>
  <si>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</si>
  <si>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</si>
  <si>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</si>
  <si>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</si>
  <si>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</si>
  <si>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</si>
  <si>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</si>
  <si>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</si>
  <si>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</si>
  <si>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</si>
  <si>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</si>
  <si>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</si>
  <si>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</si>
  <si>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</si>
  <si>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</si>
  <si>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</si>
  <si>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</si>
  <si>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</si>
  <si>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</si>
  <si>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</si>
  <si>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</si>
  <si>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</si>
  <si>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</si>
  <si>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</si>
  <si>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</si>
  <si>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</si>
  <si>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</si>
  <si>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</si>
  <si>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</si>
  <si>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</si>
  <si>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</si>
  <si>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</si>
  <si>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</si>
  <si>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</si>
  <si>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</si>
  <si>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</si>
  <si>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</si>
  <si>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</si>
  <si>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</si>
  <si>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</si>
  <si>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</si>
  <si>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</si>
  <si>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</si>
  <si>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</si>
  <si>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</si>
  <si>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</si>
  <si>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</si>
  <si>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</si>
  <si>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</si>
  <si>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</si>
  <si>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</si>
  <si>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</si>
  <si>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</si>
  <si>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</si>
  <si>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</si>
  <si>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</si>
  <si>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</si>
  <si>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</si>
  <si>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</si>
  <si>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</si>
  <si>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</si>
  <si>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</si>
  <si>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</si>
  <si>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</si>
  <si>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</si>
  <si>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</si>
  <si>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</si>
  <si>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</si>
  <si>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</si>
  <si>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</si>
  <si>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</si>
  <si>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</si>
  <si>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</si>
  <si>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</si>
  <si>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</si>
  <si>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</si>
  <si>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</si>
  <si>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</si>
  <si>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</si>
  <si>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</si>
  <si>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</si>
  <si>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</si>
  <si>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</si>
  <si>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</si>
  <si>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</si>
  <si>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</si>
  <si>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</si>
  <si>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</si>
  <si>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</si>
  <si>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</si>
  <si>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</si>
  <si>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</si>
  <si>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</si>
  <si>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</si>
  <si>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13: Severance payments</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</si>
  <si>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</si>
  <si>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</si>
  <si>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</si>
  <si>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</si>
  <si>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nature of the benefit details</t>
  </si>
  <si>
    <t>Please type nature of the benefits here</t>
  </si>
  <si>
    <t>Where the compensation includes additional pension contributions relating to the employment with the provider: amount of the pension contribution</t>
  </si>
  <si>
    <t>Aggregate of compensation paid for loss of office to staff earning in excess of £100,000 per annum (Excludes head of provider)</t>
  </si>
  <si>
    <t>Loss of office at the provider:</t>
  </si>
  <si>
    <t>Total amount of compensation paid across the whole provider</t>
  </si>
  <si>
    <t>Number of people to whom this was payable</t>
  </si>
  <si>
    <t>Loss of office at any of the provider's parent or subsidiary undertakings or any office(s) connected to the provider's affairs:</t>
  </si>
  <si>
    <t>Please confirm if you are submitting a nil return for severance payments ? (Yes/No)</t>
  </si>
  <si>
    <t>KFI Calculations</t>
  </si>
  <si>
    <t>KFI No.</t>
  </si>
  <si>
    <t>KFI ratio title</t>
  </si>
  <si>
    <t>Ratio specification using Finance record template reference</t>
  </si>
  <si>
    <t>KFI No.- Numeric part</t>
  </si>
  <si>
    <t>KFI Suffix    1=a,2=b</t>
  </si>
  <si>
    <t>Numerator</t>
  </si>
  <si>
    <t>Denominator</t>
  </si>
  <si>
    <t xml:space="preserve">Surplus/(deficit) as a % of total income </t>
  </si>
  <si>
    <t>100 x Table 1 Head 3 / Table 1 Head 1g</t>
  </si>
  <si>
    <t>Staff costs as a % of total income</t>
  </si>
  <si>
    <t>100 x Table 1 Head 2a  / Table 1 Head 1g</t>
  </si>
  <si>
    <t>Premises costs as a % of total costs</t>
  </si>
  <si>
    <t>100 x Table 8 Head 4c column 5 / Table 1 Head 2f</t>
  </si>
  <si>
    <t xml:space="preserve">Unrestricted reserves as a % of total income </t>
  </si>
  <si>
    <t>100 x SUM (Table 3 Head 11a and Table 3 Head 11b) / Table 1 Head 1g</t>
  </si>
  <si>
    <t>External borrowing as a % of total income</t>
  </si>
  <si>
    <t>100 x SUM (Table 3 Head 3a and Head 3b and Head 3c and Head 3e and Head 7a and Head 7b and Head 7c) / Table 1 Head 1g</t>
  </si>
  <si>
    <t>Days ratio of total net assets to total expenditure</t>
  </si>
  <si>
    <t>365 * (Table 3 Head 9 / Table 1 Head 2f)</t>
  </si>
  <si>
    <t>Ratio of current assets to current liabilities</t>
  </si>
  <si>
    <t>Table 3 Head 2g / Table 3 Head 3g</t>
  </si>
  <si>
    <t xml:space="preserve">Net cash inflow from operating activities as a % of total income </t>
  </si>
  <si>
    <t>100 x Table 4 Head 4 / Table 1 Head 1g</t>
  </si>
  <si>
    <t>Net liquidity days</t>
  </si>
  <si>
    <t>365 x (SUM (Table 3 Head 2c and Table 3 Head 2d) - Table 3 Head 3a) / (Table 1 Head 2f - Table 1 Head 2d)</t>
  </si>
  <si>
    <t>Increase in USS provision relating to the new deficit recovery plan put in place as part of the 2017 valuation.</t>
  </si>
  <si>
    <t>The University secured new debt at a very competitive interest rate.  This was used to repay some older expensvie debt which resulted in loan break costs of £13m.</t>
  </si>
  <si>
    <t>Professor Peter Mathieson</t>
  </si>
  <si>
    <t>Lump sum pension contribution to Edinburgh University Staff Benefits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</si>
</sst>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000000"/>
    <numFmt numFmtId="166" formatCode="\X"/>
    <numFmt numFmtId="167" formatCode="#,##0.0;\-#,##0.0"/>
    <numFmt numFmtId="168" formatCode="yyyy\-mm\-dd;@"/>
  </numFmts>
  <fonts count="49" x14ac:knownFonts="1">
    <font>
      <sz val="11"/>
      <color theme="1"/>
      <name val="Calibri"/>
      <family val="2"/>
      <scheme val="minor"/>
    </font>
    <font>
      <sz val="10"/>
      <name val="Arial"/>
      <family val="2"/>
    </font>
    <font>
      <b/>
      <sz val="10"/>
      <name val="Arial"/>
      <family val="2"/>
    </font>
    <font>
      <sz val="12"/>
      <color rgb="FFFFFFFF"/>
      <name val="Arial"/>
      <family val="2"/>
    </font>
    <font>
      <b/>
      <sz val="11"/>
      <color theme="1"/>
      <name val="Calibri"/>
      <family val="2"/>
      <scheme val="minor"/>
    </font>
    <font>
      <b/>
      <sz val="10"/>
      <color rgb="FF000000"/>
      <name val="Arial"/>
      <family val="2"/>
    </font>
    <font>
      <b/>
      <sz val="12"/>
      <color rgb="FFFFFFFF"/>
      <name val="Arial"/>
      <family val="2"/>
    </font>
    <font>
      <sz val="10"/>
      <color rgb="FFFF0000"/>
      <name val="Arial"/>
      <family val="2"/>
    </font>
    <font>
      <sz val="10"/>
      <color rgb="FF0000FF"/>
      <name val="Arial"/>
      <family val="2"/>
    </font>
    <font>
      <b/>
      <sz val="12"/>
      <color theme="0"/>
      <name val="Arial"/>
      <family val="2"/>
    </font>
    <font>
      <b/>
      <sz val="10"/>
      <color theme="1"/>
      <name val="Arial"/>
      <family val="2"/>
    </font>
    <font>
      <sz val="10"/>
      <color theme="1"/>
      <name val="Arial"/>
      <family val="2"/>
    </font>
    <font>
      <b/>
      <sz val="11"/>
      <color theme="3"/>
      <name val="Arial"/>
      <family val="2"/>
    </font>
    <font>
      <sz val="10"/>
      <color rgb="FF000000"/>
      <name val="Arial"/>
      <family val="2"/>
    </font>
    <font>
      <sz val="10"/>
      <color rgb="FF0070C0"/>
      <name val="Arial"/>
      <family val="2"/>
    </font>
    <font>
      <b/>
      <sz val="10"/>
      <color theme="0"/>
      <name val="Arial"/>
      <family val="2"/>
    </font>
    <font>
      <sz val="10"/>
      <color theme="0"/>
      <name val="Arial"/>
      <family val="2"/>
    </font>
    <font>
      <sz val="12"/>
      <color theme="1"/>
      <name val="Arial"/>
      <family val="2"/>
    </font>
    <font>
      <b/>
      <sz val="12"/>
      <color theme="3"/>
      <name val="Arial"/>
      <family val="2"/>
    </font>
    <font>
      <b/>
      <sz val="12"/>
      <color theme="1"/>
      <name val="Arial"/>
      <family val="2"/>
    </font>
    <font>
      <u/>
      <sz val="12"/>
      <color rgb="FFFFFFFF"/>
      <name val="Arial"/>
      <family val="2"/>
    </font>
    <font>
      <i/>
      <sz val="10"/>
      <color theme="1"/>
      <name val="Arial"/>
      <family val="2"/>
    </font>
    <font>
      <b/>
      <i/>
      <sz val="12"/>
      <color theme="0"/>
      <name val="Arial"/>
      <family val="2"/>
    </font>
    <font>
      <sz val="10"/>
      <color indexed="12"/>
      <name val="Arial"/>
      <family val="2"/>
    </font>
    <font>
      <sz val="11"/>
      <color theme="1"/>
      <name val="Calibri"/>
      <family val="2"/>
      <scheme val="minor"/>
    </font>
    <font>
      <i/>
      <sz val="10"/>
      <color theme="0" tint="-0.499984740745262"/>
      <name val="Arial"/>
      <family val="2"/>
    </font>
    <font>
      <sz val="12"/>
      <color theme="0"/>
      <name val="Arial"/>
      <family val="2"/>
    </font>
    <font>
      <sz val="11"/>
      <name val="Calibri"/>
      <family val="2"/>
      <scheme val="minor"/>
    </font>
    <font>
      <i/>
      <sz val="10"/>
      <color rgb="FFFF0000"/>
      <name val="Arial"/>
      <family val="2"/>
    </font>
    <font>
      <b/>
      <sz val="12"/>
      <color indexed="9"/>
      <name val="Arial"/>
      <family val="2"/>
    </font>
    <font>
      <b/>
      <sz val="11"/>
      <color theme="0"/>
      <name val="Arial"/>
      <family val="2"/>
    </font>
    <font>
      <sz val="11"/>
      <color theme="1"/>
      <name val="Arial"/>
      <family val="2"/>
    </font>
    <font>
      <b/>
      <sz val="13"/>
      <color theme="0"/>
      <name val="Arial"/>
      <family val="2"/>
    </font>
    <font>
      <sz val="10"/>
      <color indexed="9"/>
      <name val="Arial"/>
      <family val="2"/>
    </font>
    <font>
      <b/>
      <sz val="10"/>
      <color indexed="9"/>
      <name val="Arial"/>
      <family val="2"/>
    </font>
    <font>
      <u/>
      <sz val="10"/>
      <color indexed="12"/>
      <name val="Arial"/>
      <family val="2"/>
    </font>
    <font>
      <sz val="10"/>
      <color rgb="FF222222"/>
      <name val="Arial"/>
      <family val="2"/>
    </font>
    <font>
      <sz val="10"/>
      <color rgb="FF3366FF"/>
      <name val="Arial"/>
      <family val="2"/>
    </font>
    <font>
      <sz val="11"/>
      <color rgb="FFFF0000"/>
      <name val="Calibri"/>
      <family val="2"/>
      <scheme val="minor"/>
    </font>
    <font>
      <sz val="12"/>
      <color theme="1"/>
      <name val="Calibri"/>
      <family val="2"/>
      <scheme val="minor"/>
    </font>
    <font>
      <u/>
      <sz val="11"/>
      <color indexed="12"/>
      <name val="Arial"/>
      <family val="2"/>
    </font>
    <font>
      <sz val="10"/>
      <color theme="1"/>
      <name val="Calibri"/>
      <family val="2"/>
      <scheme val="minor"/>
    </font>
    <font>
      <b/>
      <u/>
      <sz val="11"/>
      <color theme="1"/>
      <name val="Arial"/>
      <family val="2"/>
    </font>
    <font>
      <b/>
      <u/>
      <sz val="11"/>
      <color theme="1"/>
      <name val="Calibri"/>
      <family val="2"/>
      <scheme val="minor"/>
    </font>
    <font>
      <u/>
      <sz val="12"/>
      <color indexed="12"/>
      <name val="Arial"/>
      <family val="2"/>
    </font>
    <font>
      <strike/>
      <sz val="11"/>
      <color theme="1"/>
      <name val="Calibri"/>
      <family val="2"/>
      <scheme val="minor"/>
    </font>
    <font>
      <sz val="8"/>
      <name val="Calibri"/>
      <family val="2"/>
      <scheme val="minor"/>
    </font>
    <font>
      <sz val="11"/>
      <color theme="1"/>
      <name val="Calibri"/>
      <family val="2"/>
    </font>
    <font>
      <b/>
      <sz val="11"/>
      <color theme="1"/>
      <name val="Calibri"/>
      <family val="2"/>
    </font>
  </fonts>
  <fills count="17">
    <fill>
      <patternFill patternType="none"/>
    </fill>
    <fill>
      <patternFill patternType="gray125"/>
    </fill>
    <fill>
      <patternFill patternType="solid">
        <fgColor rgb="FF647B96"/>
        <bgColor rgb="FF000000"/>
      </patternFill>
    </fill>
    <fill>
      <patternFill patternType="solid">
        <fgColor rgb="FFAFC0EF"/>
        <bgColor rgb="FF000000"/>
      </patternFill>
    </fill>
    <fill>
      <patternFill patternType="solid">
        <fgColor rgb="FFFFFFFF"/>
        <bgColor rgb="FF000000"/>
      </patternFill>
    </fill>
    <fill>
      <patternFill patternType="solid">
        <fgColor rgb="FFDDE1EB"/>
        <bgColor rgb="FF000000"/>
      </patternFill>
    </fill>
    <fill>
      <patternFill patternType="solid">
        <fgColor rgb="FF647B96"/>
        <bgColor indexed="64"/>
      </patternFill>
    </fill>
    <fill>
      <patternFill patternType="solid">
        <fgColor rgb="FFAFC0EF"/>
        <bgColor indexed="64"/>
      </patternFill>
    </fill>
    <fill>
      <patternFill patternType="solid">
        <fgColor rgb="FFDDE1EB"/>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rgb="FF000000"/>
      </patternFill>
    </fill>
    <fill>
      <patternFill patternType="solid">
        <fgColor theme="0" tint="-4.9989318521683403E-2"/>
        <bgColor indexed="64"/>
      </patternFill>
    </fill>
    <fill>
      <patternFill patternType="none">
        <fgColor indexed="9"/>
        <bgColor indexed="64"/>
      </patternFill>
    </fill>
  </fills>
  <borders count="2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24" fillId="0" borderId="0" applyFont="0" applyFill="0" applyBorder="0" applyAlignment="0" applyProtection="0"/>
  </cellStyleXfs>
  <cellXfs count="700">
    <xf numFmtId="0" fontId="0" fillId="0" borderId="0" xfId="0"/>
    <xf numFmtId="0" fontId="11" fillId="0" borderId="8" xfId="0" applyFont="1" applyFill="1" applyBorder="1" applyAlignment="1">
      <alignment horizontal="left"/>
    </xf>
    <xf numFmtId="0" fontId="11" fillId="0" borderId="8" xfId="0" applyFont="1" applyFill="1" applyBorder="1"/>
    <xf numFmtId="0" fontId="0" fillId="0" borderId="0" xfId="0" applyNumberFormat="1" applyFill="1" applyAlignment="1" applyProtection="1"/>
    <xf numFmtId="0" fontId="43" fillId="0" borderId="0" xfId="0" applyNumberFormat="1" applyFont="1" applyFill="1" applyAlignment="1" applyProtection="1"/>
    <xf numFmtId="0" fontId="45" fillId="0" borderId="0" xfId="0" applyNumberFormat="1" applyFont="1" applyFill="1" applyAlignment="1" applyProtection="1"/>
    <xf numFmtId="0" fontId="0" fillId="0" borderId="7" xfId="0" applyNumberFormat="1" applyFill="1" applyBorder="1" applyAlignment="1" applyProtection="1">
      <alignment horizontal="center"/>
    </xf>
    <xf numFmtId="0" fontId="0" fillId="0" borderId="8" xfId="0" applyNumberFormat="1" applyFill="1" applyBorder="1" applyAlignment="1" applyProtection="1">
      <alignment horizontal="center"/>
    </xf>
    <xf numFmtId="0" fontId="0" fillId="0" borderId="9" xfId="0" applyNumberFormat="1" applyFill="1" applyBorder="1" applyAlignment="1" applyProtection="1">
      <alignment horizontal="center"/>
    </xf>
    <xf numFmtId="0" fontId="45" fillId="0" borderId="1" xfId="0" applyNumberFormat="1" applyFont="1" applyFill="1" applyBorder="1" applyAlignment="1" applyProtection="1">
      <alignment horizontal="center"/>
    </xf>
    <xf numFmtId="0" fontId="45" fillId="0" borderId="12" xfId="0" applyNumberFormat="1" applyFont="1" applyFill="1" applyBorder="1" applyAlignment="1" applyProtection="1">
      <alignment horizontal="center"/>
    </xf>
    <xf numFmtId="0" fontId="45" fillId="0" borderId="11" xfId="0" applyNumberFormat="1" applyFont="1" applyFill="1" applyBorder="1" applyAlignment="1" applyProtection="1">
      <alignment horizontal="center"/>
    </xf>
    <xf numFmtId="0" fontId="0" fillId="0" borderId="15" xfId="0" applyNumberFormat="1" applyFill="1" applyBorder="1" applyAlignment="1" applyProtection="1">
      <alignment horizontal="center"/>
    </xf>
    <xf numFmtId="0" fontId="0" fillId="0" borderId="3" xfId="0" applyNumberFormat="1" applyFill="1" applyBorder="1" applyAlignment="1" applyProtection="1">
      <alignment horizontal="center"/>
    </xf>
    <xf numFmtId="0" fontId="0" fillId="0" borderId="10" xfId="0" applyNumberFormat="1" applyFill="1" applyBorder="1" applyAlignment="1" applyProtection="1">
      <alignment horizontal="center"/>
    </xf>
    <xf numFmtId="0" fontId="0" fillId="0" borderId="1" xfId="0" applyNumberFormat="1" applyFill="1" applyBorder="1" applyAlignment="1" applyProtection="1">
      <alignment horizontal="center"/>
    </xf>
    <xf numFmtId="0" fontId="0" fillId="0" borderId="12" xfId="0" applyNumberFormat="1" applyFill="1" applyBorder="1" applyAlignment="1" applyProtection="1">
      <alignment horizontal="center"/>
    </xf>
    <xf numFmtId="0" fontId="0" fillId="0" borderId="11" xfId="0" applyNumberFormat="1" applyFill="1" applyBorder="1" applyAlignment="1" applyProtection="1">
      <alignment horizontal="center"/>
    </xf>
    <xf numFmtId="0" fontId="0" fillId="0" borderId="13" xfId="0" applyNumberFormat="1" applyFill="1" applyBorder="1" applyAlignment="1" applyProtection="1">
      <alignment horizontal="center"/>
    </xf>
    <xf numFmtId="0" fontId="0" fillId="0" borderId="0" xfId="0" applyNumberFormat="1" applyFill="1" applyAlignment="1" applyProtection="1">
      <alignment horizontal="center"/>
    </xf>
    <xf numFmtId="0" fontId="0" fillId="0" borderId="14" xfId="0" applyNumberFormat="1" applyFill="1" applyBorder="1" applyAlignment="1" applyProtection="1">
      <alignment horizontal="center"/>
    </xf>
    <xf numFmtId="49" fontId="0" fillId="0" borderId="0" xfId="0" applyNumberFormat="1" applyFill="1" applyAlignment="1" applyProtection="1"/>
    <xf numFmtId="0" fontId="31" fillId="0" borderId="0" xfId="0" applyNumberFormat="1" applyFont="1" applyFill="1" applyAlignment="1" applyProtection="1"/>
    <xf numFmtId="0" fontId="31" fillId="0" borderId="0" xfId="0" applyNumberFormat="1" applyFont="1" applyFill="1" applyAlignment="1" applyProtection="1">
      <alignment horizontal="center"/>
    </xf>
    <xf numFmtId="0" fontId="42" fillId="0" borderId="0" xfId="0" applyNumberFormat="1" applyFont="1" applyFill="1" applyAlignment="1" applyProtection="1">
      <alignment horizontal="center"/>
    </xf>
    <xf numFmtId="14" fontId="31" fillId="0" borderId="0" xfId="0" applyNumberFormat="1" applyFont="1" applyFill="1" applyAlignment="1" applyProtection="1">
      <alignment horizontal="center"/>
    </xf>
    <xf numFmtId="0" fontId="9" fillId="6" borderId="7" xfId="0" applyNumberFormat="1" applyFont="1" applyFill="1" applyBorder="1" applyAlignment="1" applyProtection="1">
      <alignment horizontal="right" wrapText="1"/>
    </xf>
    <xf numFmtId="0" fontId="9" fillId="6" borderId="2" xfId="0" applyNumberFormat="1" applyFont="1" applyFill="1" applyBorder="1" applyAlignment="1" applyProtection="1">
      <alignment horizontal="right" wrapText="1"/>
    </xf>
    <xf numFmtId="0" fontId="10" fillId="0" borderId="2" xfId="0" applyNumberFormat="1" applyFont="1" applyFill="1" applyBorder="1" applyAlignment="1" applyProtection="1">
      <alignment horizontal="center"/>
    </xf>
    <xf numFmtId="0" fontId="1" fillId="9" borderId="0" xfId="0" applyNumberFormat="1" applyFont="1" applyFill="1" applyAlignment="1" applyProtection="1"/>
    <xf numFmtId="0" fontId="32" fillId="6" borderId="7" xfId="0" applyNumberFormat="1" applyFont="1" applyFill="1" applyBorder="1" applyAlignment="1" applyProtection="1">
      <alignment horizontal="left" vertical="top"/>
    </xf>
    <xf numFmtId="0" fontId="34" fillId="6" borderId="8" xfId="0" applyNumberFormat="1" applyFont="1" applyFill="1" applyBorder="1" applyAlignment="1" applyProtection="1"/>
    <xf numFmtId="164" fontId="34" fillId="6" borderId="9" xfId="0" applyNumberFormat="1" applyFont="1" applyFill="1" applyBorder="1" applyAlignment="1" applyProtection="1">
      <alignment horizontal="left"/>
    </xf>
    <xf numFmtId="0" fontId="33" fillId="10" borderId="0" xfId="0" applyNumberFormat="1" applyFont="1" applyFill="1" applyAlignment="1" applyProtection="1"/>
    <xf numFmtId="0" fontId="33" fillId="10" borderId="0" xfId="0" applyNumberFormat="1" applyFont="1" applyFill="1" applyAlignment="1" applyProtection="1">
      <alignment horizontal="right" vertical="center" wrapText="1"/>
    </xf>
    <xf numFmtId="0" fontId="33" fillId="10" borderId="0" xfId="0" applyNumberFormat="1" applyFont="1" applyFill="1" applyAlignment="1" applyProtection="1">
      <alignment vertical="center"/>
    </xf>
    <xf numFmtId="0" fontId="1" fillId="9" borderId="0" xfId="0" applyNumberFormat="1" applyFont="1" applyFill="1" applyAlignment="1" applyProtection="1">
      <alignment horizontal="center" vertical="center"/>
    </xf>
    <xf numFmtId="0" fontId="2" fillId="13" borderId="2" xfId="0" applyNumberFormat="1" applyFont="1" applyFill="1" applyBorder="1" applyAlignment="1" applyProtection="1">
      <alignment wrapText="1"/>
    </xf>
    <xf numFmtId="0" fontId="2" fillId="16" borderId="9" xfId="0" applyNumberFormat="1" applyFont="1" applyFill="1" applyBorder="1" applyAlignment="1" applyProtection="1">
      <alignment horizontal="left" wrapText="1"/>
      <protection locked="0"/>
    </xf>
    <xf numFmtId="0" fontId="2" fillId="8" borderId="5" xfId="0" applyNumberFormat="1" applyFont="1" applyFill="1" applyBorder="1" applyAlignment="1" applyProtection="1">
      <alignment horizontal="left"/>
    </xf>
    <xf numFmtId="0" fontId="2" fillId="8" borderId="4" xfId="0" applyNumberFormat="1" applyFont="1" applyFill="1" applyBorder="1" applyAlignment="1" applyProtection="1">
      <alignment horizontal="left"/>
    </xf>
    <xf numFmtId="0" fontId="1" fillId="10" borderId="0" xfId="0" applyNumberFormat="1" applyFont="1" applyFill="1" applyAlignment="1" applyProtection="1"/>
    <xf numFmtId="0" fontId="1" fillId="10" borderId="0" xfId="0" applyNumberFormat="1" applyFont="1" applyFill="1" applyAlignment="1" applyProtection="1">
      <alignment horizontal="right" vertical="center" wrapText="1"/>
    </xf>
    <xf numFmtId="0" fontId="1" fillId="10" borderId="0" xfId="0" applyNumberFormat="1" applyFont="1" applyFill="1" applyAlignment="1" applyProtection="1">
      <alignment vertical="center"/>
    </xf>
    <xf numFmtId="0" fontId="2" fillId="11" borderId="2" xfId="0" applyNumberFormat="1" applyFont="1" applyFill="1" applyBorder="1" applyAlignment="1" applyProtection="1"/>
    <xf numFmtId="165" fontId="1" fillId="16" borderId="2" xfId="0" applyNumberFormat="1" applyFont="1" applyFill="1" applyBorder="1" applyAlignment="1" applyProtection="1">
      <alignment horizontal="left"/>
      <protection locked="0"/>
    </xf>
    <xf numFmtId="166" fontId="1" fillId="16" borderId="2" xfId="0" applyNumberFormat="1" applyFont="1" applyFill="1" applyBorder="1" applyAlignment="1" applyProtection="1">
      <alignment horizontal="left"/>
      <protection locked="0"/>
    </xf>
    <xf numFmtId="0" fontId="2" fillId="8" borderId="6" xfId="0" applyNumberFormat="1" applyFont="1" applyFill="1" applyBorder="1" applyAlignment="1" applyProtection="1"/>
    <xf numFmtId="0" fontId="2" fillId="9" borderId="0" xfId="0" applyNumberFormat="1" applyFont="1" applyFill="1" applyAlignment="1" applyProtection="1">
      <alignment vertical="top"/>
    </xf>
    <xf numFmtId="1" fontId="2" fillId="9" borderId="0" xfId="0" applyNumberFormat="1" applyFont="1" applyFill="1" applyAlignment="1" applyProtection="1">
      <alignment horizontal="left" vertical="top"/>
    </xf>
    <xf numFmtId="0" fontId="2" fillId="16" borderId="12" xfId="0" applyNumberFormat="1" applyFont="1" applyFill="1" applyBorder="1" applyAlignment="1" applyProtection="1">
      <alignment horizontal="left"/>
    </xf>
    <xf numFmtId="0" fontId="2" fillId="16" borderId="0" xfId="0" applyNumberFormat="1" applyFont="1" applyFill="1" applyAlignment="1" applyProtection="1"/>
    <xf numFmtId="0" fontId="1" fillId="16" borderId="0" xfId="0" applyNumberFormat="1" applyFont="1" applyFill="1" applyAlignment="1" applyProtection="1"/>
    <xf numFmtId="0" fontId="1" fillId="16" borderId="0" xfId="0" applyNumberFormat="1" applyFont="1" applyFill="1" applyAlignment="1" applyProtection="1">
      <alignment horizontal="right" vertical="center" wrapText="1"/>
    </xf>
    <xf numFmtId="0" fontId="1" fillId="16" borderId="0" xfId="0" applyNumberFormat="1" applyFont="1" applyFill="1" applyAlignment="1" applyProtection="1">
      <alignment vertical="center"/>
    </xf>
    <xf numFmtId="0" fontId="2" fillId="9" borderId="0" xfId="0" applyNumberFormat="1" applyFont="1" applyFill="1" applyAlignment="1" applyProtection="1">
      <alignment horizontal="left"/>
    </xf>
    <xf numFmtId="0" fontId="2" fillId="9" borderId="0" xfId="0" applyNumberFormat="1" applyFont="1" applyFill="1" applyAlignment="1" applyProtection="1"/>
    <xf numFmtId="1" fontId="2" fillId="9" borderId="0" xfId="0" applyNumberFormat="1" applyFont="1" applyFill="1" applyAlignment="1" applyProtection="1">
      <alignment horizontal="left"/>
    </xf>
    <xf numFmtId="0" fontId="29" fillId="9" borderId="0" xfId="0" applyNumberFormat="1" applyFont="1" applyFill="1" applyAlignment="1" applyProtection="1">
      <alignment horizontal="right"/>
    </xf>
    <xf numFmtId="0" fontId="29" fillId="9" borderId="0" xfId="0" applyNumberFormat="1" applyFont="1" applyFill="1" applyAlignment="1" applyProtection="1"/>
    <xf numFmtId="0" fontId="0" fillId="16" borderId="0" xfId="0" applyNumberFormat="1" applyFill="1" applyAlignment="1" applyProtection="1">
      <alignment horizontal="center" vertical="center"/>
    </xf>
    <xf numFmtId="0" fontId="34" fillId="9" borderId="0" xfId="0" applyNumberFormat="1" applyFont="1" applyFill="1" applyAlignment="1" applyProtection="1"/>
    <xf numFmtId="0" fontId="1" fillId="9" borderId="0" xfId="0" applyNumberFormat="1" applyFont="1" applyFill="1" applyAlignment="1" applyProtection="1">
      <alignment horizontal="left"/>
    </xf>
    <xf numFmtId="0" fontId="1" fillId="9" borderId="0" xfId="0" applyNumberFormat="1" applyFont="1" applyFill="1" applyAlignment="1" applyProtection="1">
      <alignment horizontal="left" indent="1"/>
    </xf>
    <xf numFmtId="37" fontId="1" fillId="9" borderId="0" xfId="0" applyNumberFormat="1" applyFont="1" applyFill="1" applyAlignment="1" applyProtection="1"/>
    <xf numFmtId="37" fontId="1" fillId="16" borderId="0" xfId="0" applyNumberFormat="1" applyFont="1" applyFill="1" applyAlignment="1" applyProtection="1"/>
    <xf numFmtId="0" fontId="23" fillId="9" borderId="0" xfId="0" applyNumberFormat="1" applyFont="1" applyFill="1" applyAlignment="1" applyProtection="1"/>
    <xf numFmtId="0" fontId="1" fillId="9" borderId="0" xfId="0" applyNumberFormat="1" applyFont="1" applyFill="1" applyAlignment="1" applyProtection="1">
      <alignment horizontal="right" vertical="center" wrapText="1"/>
    </xf>
    <xf numFmtId="0" fontId="1" fillId="9" borderId="0" xfId="0" applyNumberFormat="1" applyFont="1" applyFill="1" applyAlignment="1" applyProtection="1">
      <alignment vertical="center"/>
    </xf>
    <xf numFmtId="0" fontId="31" fillId="16" borderId="0" xfId="0" applyNumberFormat="1" applyFont="1" applyFill="1" applyAlignment="1" applyProtection="1">
      <alignment horizontal="center" vertical="center"/>
    </xf>
    <xf numFmtId="0" fontId="23" fillId="16" borderId="0" xfId="0" applyNumberFormat="1" applyFont="1" applyFill="1" applyAlignment="1" applyProtection="1"/>
    <xf numFmtId="0" fontId="44" fillId="9" borderId="0" xfId="0" applyNumberFormat="1" applyFont="1" applyFill="1" applyAlignment="1" applyProtection="1"/>
    <xf numFmtId="0" fontId="35" fillId="9" borderId="0" xfId="0" applyNumberFormat="1" applyFont="1" applyFill="1" applyAlignment="1" applyProtection="1"/>
    <xf numFmtId="0" fontId="1" fillId="9" borderId="0" xfId="0" applyNumberFormat="1" applyFont="1" applyFill="1" applyAlignment="1" applyProtection="1">
      <alignment horizontal="center"/>
    </xf>
    <xf numFmtId="0" fontId="1" fillId="9" borderId="3" xfId="0" applyNumberFormat="1" applyFont="1" applyFill="1" applyBorder="1" applyAlignment="1" applyProtection="1">
      <alignment horizontal="center"/>
    </xf>
    <xf numFmtId="37" fontId="1" fillId="9" borderId="3" xfId="0" applyNumberFormat="1" applyFont="1" applyFill="1" applyBorder="1" applyAlignment="1" applyProtection="1">
      <alignment horizontal="center"/>
    </xf>
    <xf numFmtId="0" fontId="15" fillId="6" borderId="12" xfId="0" applyNumberFormat="1" applyFont="1" applyFill="1" applyBorder="1" applyAlignment="1" applyProtection="1"/>
    <xf numFmtId="0" fontId="34" fillId="6" borderId="12" xfId="0" applyNumberFormat="1" applyFont="1" applyFill="1" applyBorder="1" applyAlignment="1" applyProtection="1">
      <alignment horizontal="left"/>
    </xf>
    <xf numFmtId="0" fontId="1" fillId="6" borderId="12" xfId="0" applyNumberFormat="1" applyFont="1" applyFill="1" applyBorder="1" applyAlignment="1" applyProtection="1"/>
    <xf numFmtId="0" fontId="1" fillId="6" borderId="12" xfId="0" applyNumberFormat="1" applyFont="1" applyFill="1" applyBorder="1" applyAlignment="1" applyProtection="1">
      <alignment horizontal="right" vertical="center" wrapText="1"/>
    </xf>
    <xf numFmtId="0" fontId="1" fillId="16" borderId="0" xfId="0" applyNumberFormat="1" applyFont="1" applyFill="1" applyAlignment="1" applyProtection="1">
      <alignment horizontal="right" vertical="center"/>
    </xf>
    <xf numFmtId="0" fontId="1" fillId="6" borderId="13" xfId="0" applyNumberFormat="1" applyFont="1" applyFill="1" applyBorder="1" applyAlignment="1" applyProtection="1"/>
    <xf numFmtId="49" fontId="1" fillId="6" borderId="0" xfId="0" applyNumberFormat="1" applyFont="1" applyFill="1" applyAlignment="1" applyProtection="1">
      <alignment horizontal="left"/>
    </xf>
    <xf numFmtId="0" fontId="1" fillId="6" borderId="0" xfId="0" applyNumberFormat="1" applyFont="1" applyFill="1" applyAlignment="1" applyProtection="1"/>
    <xf numFmtId="0" fontId="1" fillId="6" borderId="0" xfId="0" applyNumberFormat="1" applyFont="1" applyFill="1" applyAlignment="1" applyProtection="1">
      <alignment horizontal="right" vertical="center" wrapText="1"/>
    </xf>
    <xf numFmtId="0" fontId="1" fillId="6" borderId="15" xfId="0" applyNumberFormat="1" applyFont="1" applyFill="1" applyBorder="1" applyAlignment="1" applyProtection="1"/>
    <xf numFmtId="49" fontId="1" fillId="6" borderId="3" xfId="0" applyNumberFormat="1" applyFont="1" applyFill="1" applyBorder="1" applyAlignment="1" applyProtection="1">
      <alignment horizontal="left"/>
    </xf>
    <xf numFmtId="0" fontId="1" fillId="6" borderId="3" xfId="0" applyNumberFormat="1" applyFont="1" applyFill="1" applyBorder="1" applyAlignment="1" applyProtection="1">
      <alignment horizontal="left"/>
    </xf>
    <xf numFmtId="0" fontId="1" fillId="6" borderId="3" xfId="0" applyNumberFormat="1" applyFont="1" applyFill="1" applyBorder="1" applyAlignment="1" applyProtection="1"/>
    <xf numFmtId="0" fontId="1" fillId="6" borderId="3" xfId="0" applyNumberFormat="1" applyFont="1" applyFill="1" applyBorder="1" applyAlignment="1" applyProtection="1">
      <alignment horizontal="right" vertical="center" wrapText="1"/>
    </xf>
    <xf numFmtId="0" fontId="1" fillId="16" borderId="0" xfId="0" applyNumberFormat="1" applyFont="1" applyFill="1" applyAlignment="1" applyProtection="1">
      <alignment horizontal="left" vertical="center"/>
    </xf>
    <xf numFmtId="0" fontId="2" fillId="9" borderId="3" xfId="0" applyNumberFormat="1" applyFont="1" applyFill="1" applyBorder="1" applyAlignment="1" applyProtection="1">
      <alignment horizontal="left"/>
    </xf>
    <xf numFmtId="0" fontId="2" fillId="9" borderId="8" xfId="0" applyNumberFormat="1" applyFont="1" applyFill="1" applyBorder="1" applyAlignment="1" applyProtection="1"/>
    <xf numFmtId="0" fontId="2" fillId="9" borderId="0" xfId="0" applyNumberFormat="1" applyFont="1" applyFill="1" applyAlignment="1" applyProtection="1">
      <alignment horizontal="center"/>
    </xf>
    <xf numFmtId="0" fontId="2" fillId="16" borderId="0" xfId="0" applyNumberFormat="1" applyFont="1" applyFill="1" applyAlignment="1" applyProtection="1">
      <alignment horizontal="right" vertical="center" textRotation="90" wrapText="1"/>
    </xf>
    <xf numFmtId="0" fontId="2" fillId="16" borderId="0" xfId="0" applyNumberFormat="1" applyFont="1" applyFill="1" applyAlignment="1" applyProtection="1">
      <alignment horizontal="left" vertical="center" textRotation="90"/>
    </xf>
    <xf numFmtId="0" fontId="7" fillId="9" borderId="0" xfId="0" applyNumberFormat="1" applyFont="1" applyFill="1" applyAlignment="1" applyProtection="1">
      <alignment vertical="center" wrapText="1"/>
    </xf>
    <xf numFmtId="0" fontId="25" fillId="16" borderId="0" xfId="0" applyNumberFormat="1" applyFont="1" applyFill="1" applyAlignment="1" applyProtection="1">
      <alignment horizontal="center" vertical="center"/>
    </xf>
    <xf numFmtId="0" fontId="1" fillId="9" borderId="8" xfId="0" applyNumberFormat="1" applyFont="1" applyFill="1" applyBorder="1" applyAlignment="1" applyProtection="1"/>
    <xf numFmtId="0" fontId="7" fillId="9" borderId="0" xfId="0" applyNumberFormat="1" applyFont="1" applyFill="1" applyAlignment="1" applyProtection="1">
      <alignment vertical="center"/>
    </xf>
    <xf numFmtId="0" fontId="1" fillId="9" borderId="8" xfId="0" applyNumberFormat="1" applyFont="1" applyFill="1" applyBorder="1" applyAlignment="1" applyProtection="1">
      <alignment horizontal="left" vertical="center"/>
    </xf>
    <xf numFmtId="0" fontId="1" fillId="9" borderId="8" xfId="0" applyNumberFormat="1" applyFont="1" applyFill="1" applyBorder="1" applyAlignment="1" applyProtection="1">
      <alignment vertical="center"/>
    </xf>
    <xf numFmtId="0" fontId="13" fillId="9" borderId="8" xfId="0" applyNumberFormat="1" applyFont="1" applyFill="1" applyBorder="1" applyAlignment="1" applyProtection="1">
      <alignment horizontal="left" vertical="center"/>
    </xf>
    <xf numFmtId="0" fontId="13" fillId="9" borderId="8" xfId="0" applyNumberFormat="1" applyFont="1" applyFill="1" applyBorder="1" applyAlignment="1" applyProtection="1">
      <alignment vertical="center"/>
    </xf>
    <xf numFmtId="0" fontId="13" fillId="9" borderId="0" xfId="0" applyNumberFormat="1" applyFont="1" applyFill="1" applyAlignment="1" applyProtection="1">
      <alignment horizontal="right" vertical="center" wrapText="1"/>
    </xf>
    <xf numFmtId="0" fontId="7" fillId="9" borderId="0" xfId="0" applyNumberFormat="1" applyFont="1" applyFill="1" applyAlignment="1" applyProtection="1">
      <alignment horizontal="left" vertical="center" wrapText="1"/>
    </xf>
    <xf numFmtId="0" fontId="13" fillId="9" borderId="12" xfId="0" applyNumberFormat="1" applyFont="1" applyFill="1" applyBorder="1" applyAlignment="1" applyProtection="1">
      <alignment vertical="center"/>
    </xf>
    <xf numFmtId="0" fontId="13" fillId="9" borderId="3" xfId="0" applyNumberFormat="1" applyFont="1" applyFill="1" applyBorder="1" applyAlignment="1" applyProtection="1">
      <alignment vertical="center"/>
    </xf>
    <xf numFmtId="37" fontId="13" fillId="9" borderId="0" xfId="0" applyNumberFormat="1" applyFont="1" applyFill="1" applyAlignment="1" applyProtection="1">
      <alignment horizontal="right" vertical="center" wrapText="1"/>
    </xf>
    <xf numFmtId="0" fontId="13" fillId="16" borderId="12" xfId="0" applyNumberFormat="1" applyFont="1" applyFill="1" applyBorder="1" applyAlignment="1" applyProtection="1">
      <alignment vertical="center"/>
    </xf>
    <xf numFmtId="0" fontId="13" fillId="16" borderId="8" xfId="0" applyNumberFormat="1" applyFont="1" applyFill="1" applyBorder="1" applyAlignment="1" applyProtection="1">
      <alignment horizontal="left" vertical="center"/>
    </xf>
    <xf numFmtId="0" fontId="1" fillId="9" borderId="0" xfId="0" applyNumberFormat="1" applyFont="1" applyFill="1" applyAlignment="1" applyProtection="1">
      <alignment horizontal="right" vertical="center"/>
    </xf>
    <xf numFmtId="0" fontId="1" fillId="9" borderId="0" xfId="0" applyNumberFormat="1" applyFont="1" applyFill="1" applyAlignment="1" applyProtection="1">
      <alignment horizontal="left" vertical="center"/>
    </xf>
    <xf numFmtId="0" fontId="13" fillId="16" borderId="8" xfId="0" applyNumberFormat="1" applyFont="1" applyFill="1" applyBorder="1" applyAlignment="1" applyProtection="1">
      <alignment vertical="center"/>
    </xf>
    <xf numFmtId="0" fontId="13" fillId="16" borderId="0" xfId="0" applyNumberFormat="1" applyFont="1" applyFill="1" applyAlignment="1" applyProtection="1">
      <alignment horizontal="right" vertical="center" wrapText="1"/>
    </xf>
    <xf numFmtId="0" fontId="1" fillId="16" borderId="8" xfId="0" applyNumberFormat="1" applyFont="1" applyFill="1" applyBorder="1" applyAlignment="1" applyProtection="1">
      <alignment vertical="center"/>
    </xf>
    <xf numFmtId="0" fontId="1" fillId="16" borderId="12" xfId="0" applyNumberFormat="1" applyFont="1" applyFill="1" applyBorder="1" applyAlignment="1" applyProtection="1">
      <alignment vertical="center"/>
    </xf>
    <xf numFmtId="0" fontId="1" fillId="9" borderId="3" xfId="0" applyNumberFormat="1" applyFont="1" applyFill="1" applyBorder="1" applyAlignment="1" applyProtection="1">
      <alignment vertical="center"/>
    </xf>
    <xf numFmtId="37" fontId="1" fillId="9" borderId="0" xfId="0" applyNumberFormat="1" applyFont="1" applyFill="1" applyAlignment="1" applyProtection="1">
      <alignment horizontal="right" vertical="center" wrapText="1"/>
    </xf>
    <xf numFmtId="0" fontId="7" fillId="16" borderId="0" xfId="0" applyNumberFormat="1" applyFont="1" applyFill="1" applyAlignment="1" applyProtection="1">
      <alignment vertical="center"/>
    </xf>
    <xf numFmtId="0" fontId="1" fillId="16" borderId="0" xfId="0" applyNumberFormat="1" applyFont="1" applyFill="1" applyAlignment="1" applyProtection="1">
      <alignment horizontal="center" vertical="center"/>
    </xf>
    <xf numFmtId="0" fontId="1" fillId="16" borderId="8" xfId="0" applyNumberFormat="1" applyFont="1" applyFill="1" applyBorder="1" applyAlignment="1" applyProtection="1">
      <alignment horizontal="left" vertical="center"/>
    </xf>
    <xf numFmtId="49" fontId="7" fillId="9" borderId="0" xfId="0" applyNumberFormat="1" applyFont="1" applyFill="1" applyAlignment="1" applyProtection="1">
      <alignment horizontal="left" vertical="center" wrapText="1"/>
    </xf>
    <xf numFmtId="0" fontId="7" fillId="16" borderId="0" xfId="0" applyNumberFormat="1" applyFont="1" applyFill="1" applyAlignment="1" applyProtection="1">
      <alignment horizontal="left" vertical="center" wrapText="1"/>
    </xf>
    <xf numFmtId="0" fontId="1" fillId="16" borderId="8" xfId="0" applyNumberFormat="1" applyFont="1" applyFill="1" applyBorder="1" applyAlignment="1" applyProtection="1">
      <alignment vertical="center" wrapText="1"/>
    </xf>
    <xf numFmtId="0" fontId="1" fillId="9" borderId="0" xfId="0" applyNumberFormat="1" applyFont="1" applyFill="1" applyAlignment="1" applyProtection="1">
      <alignment vertical="center" wrapText="1"/>
    </xf>
    <xf numFmtId="0" fontId="1" fillId="16" borderId="3" xfId="0" applyNumberFormat="1" applyFont="1" applyFill="1" applyBorder="1" applyAlignment="1" applyProtection="1">
      <alignment vertical="center"/>
    </xf>
    <xf numFmtId="0" fontId="1" fillId="16" borderId="0" xfId="0" applyNumberFormat="1" applyFont="1" applyFill="1" applyAlignment="1" applyProtection="1">
      <alignment vertical="center" wrapText="1"/>
    </xf>
    <xf numFmtId="1" fontId="1" fillId="9" borderId="0" xfId="0" applyNumberFormat="1" applyFont="1" applyFill="1" applyAlignment="1" applyProtection="1">
      <alignment horizontal="right" vertical="center" wrapText="1"/>
    </xf>
    <xf numFmtId="0" fontId="11" fillId="0" borderId="0" xfId="0" applyNumberFormat="1" applyFont="1" applyFill="1" applyAlignment="1" applyProtection="1"/>
    <xf numFmtId="0" fontId="9" fillId="6" borderId="1" xfId="0" applyNumberFormat="1" applyFont="1" applyFill="1" applyBorder="1" applyAlignment="1" applyProtection="1">
      <alignment horizontal="right" vertical="center"/>
    </xf>
    <xf numFmtId="0" fontId="9" fillId="6" borderId="12" xfId="0" applyNumberFormat="1" applyFont="1" applyFill="1" applyBorder="1" applyAlignment="1" applyProtection="1">
      <alignment vertical="center"/>
    </xf>
    <xf numFmtId="0" fontId="9" fillId="6" borderId="12" xfId="0" applyNumberFormat="1" applyFont="1" applyFill="1" applyBorder="1" applyAlignment="1" applyProtection="1">
      <alignment horizontal="left" vertical="top" wrapText="1"/>
    </xf>
    <xf numFmtId="0" fontId="15" fillId="6" borderId="4" xfId="0" applyNumberFormat="1" applyFont="1" applyFill="1" applyBorder="1" applyAlignment="1" applyProtection="1">
      <alignment vertical="top" wrapText="1"/>
    </xf>
    <xf numFmtId="0" fontId="15" fillId="6" borderId="11" xfId="0" applyNumberFormat="1" applyFont="1" applyFill="1" applyBorder="1" applyAlignment="1" applyProtection="1">
      <alignment vertical="top" wrapText="1"/>
    </xf>
    <xf numFmtId="0" fontId="10" fillId="0" borderId="0" xfId="0" applyNumberFormat="1" applyFont="1" applyFill="1" applyAlignment="1" applyProtection="1">
      <alignment horizontal="center"/>
    </xf>
    <xf numFmtId="0" fontId="9" fillId="6" borderId="13" xfId="0" applyNumberFormat="1" applyFont="1" applyFill="1" applyBorder="1" applyAlignment="1" applyProtection="1">
      <alignment horizontal="right" vertical="top" wrapText="1"/>
    </xf>
    <xf numFmtId="0" fontId="9" fillId="6" borderId="0" xfId="0" applyNumberFormat="1" applyFont="1" applyFill="1" applyAlignment="1" applyProtection="1">
      <alignment vertical="top"/>
    </xf>
    <xf numFmtId="0" fontId="9" fillId="6" borderId="0" xfId="0" applyNumberFormat="1" applyFont="1" applyFill="1" applyAlignment="1" applyProtection="1">
      <alignment horizontal="left" vertical="top" wrapText="1"/>
    </xf>
    <xf numFmtId="0" fontId="15" fillId="6" borderId="6" xfId="0" applyNumberFormat="1" applyFont="1" applyFill="1" applyBorder="1" applyAlignment="1" applyProtection="1">
      <alignment vertical="top" wrapText="1"/>
    </xf>
    <xf numFmtId="0" fontId="10" fillId="0" borderId="0" xfId="0" applyNumberFormat="1" applyFont="1" applyFill="1" applyAlignment="1" applyProtection="1"/>
    <xf numFmtId="0" fontId="16" fillId="6" borderId="13" xfId="0" applyNumberFormat="1" applyFont="1" applyFill="1" applyBorder="1" applyAlignment="1" applyProtection="1">
      <alignment horizontal="right"/>
    </xf>
    <xf numFmtId="0" fontId="16" fillId="6" borderId="0" xfId="0" applyNumberFormat="1" applyFont="1" applyFill="1" applyAlignment="1" applyProtection="1"/>
    <xf numFmtId="0" fontId="16" fillId="6" borderId="14" xfId="0" applyNumberFormat="1" applyFont="1" applyFill="1" applyBorder="1" applyAlignment="1" applyProtection="1"/>
    <xf numFmtId="0" fontId="11" fillId="0" borderId="0" xfId="0" applyNumberFormat="1" applyFont="1" applyFill="1" applyAlignment="1" applyProtection="1">
      <alignment horizontal="center" vertical="center" wrapText="1"/>
    </xf>
    <xf numFmtId="0" fontId="16" fillId="6" borderId="15" xfId="0" applyNumberFormat="1" applyFont="1" applyFill="1" applyBorder="1" applyAlignment="1" applyProtection="1">
      <alignment horizontal="right"/>
    </xf>
    <xf numFmtId="0" fontId="16" fillId="6" borderId="3" xfId="0" applyNumberFormat="1" applyFont="1" applyFill="1" applyBorder="1" applyAlignment="1" applyProtection="1"/>
    <xf numFmtId="0" fontId="16" fillId="6" borderId="10" xfId="0" applyNumberFormat="1" applyFont="1" applyFill="1" applyBorder="1" applyAlignment="1" applyProtection="1"/>
    <xf numFmtId="0" fontId="9" fillId="6" borderId="6" xfId="0" applyNumberFormat="1" applyFont="1" applyFill="1" applyBorder="1" applyAlignment="1" applyProtection="1">
      <alignment horizontal="right" wrapText="1"/>
    </xf>
    <xf numFmtId="0" fontId="11" fillId="0" borderId="0" xfId="0" applyNumberFormat="1" applyFont="1" applyFill="1" applyAlignment="1" applyProtection="1">
      <alignment horizontal="center" wrapText="1"/>
    </xf>
    <xf numFmtId="0" fontId="11" fillId="12" borderId="2" xfId="0" applyNumberFormat="1" applyFont="1" applyFill="1" applyBorder="1" applyAlignment="1" applyProtection="1">
      <alignment horizontal="right"/>
    </xf>
    <xf numFmtId="0" fontId="10" fillId="7" borderId="7" xfId="0" applyNumberFormat="1" applyFont="1" applyFill="1" applyBorder="1" applyAlignment="1" applyProtection="1"/>
    <xf numFmtId="0" fontId="10" fillId="7" borderId="8" xfId="0" applyNumberFormat="1" applyFont="1" applyFill="1" applyBorder="1" applyAlignment="1" applyProtection="1"/>
    <xf numFmtId="0" fontId="10" fillId="7" borderId="9" xfId="0" applyNumberFormat="1" applyFont="1" applyFill="1" applyBorder="1" applyAlignment="1" applyProtection="1"/>
    <xf numFmtId="0" fontId="11" fillId="7" borderId="2" xfId="0" applyNumberFormat="1" applyFont="1" applyFill="1" applyBorder="1" applyAlignment="1" applyProtection="1"/>
    <xf numFmtId="0" fontId="10" fillId="7" borderId="2" xfId="0" applyNumberFormat="1" applyFont="1" applyFill="1" applyBorder="1" applyAlignment="1" applyProtection="1"/>
    <xf numFmtId="0" fontId="25" fillId="0" borderId="0" xfId="0" applyNumberFormat="1" applyFont="1" applyFill="1" applyAlignment="1" applyProtection="1">
      <alignment horizontal="center"/>
    </xf>
    <xf numFmtId="0" fontId="11" fillId="10" borderId="7" xfId="0" applyNumberFormat="1" applyFont="1" applyFill="1" applyBorder="1" applyAlignment="1" applyProtection="1">
      <alignment horizontal="left" indent="1"/>
    </xf>
    <xf numFmtId="0" fontId="11" fillId="10" borderId="8" xfId="0" applyNumberFormat="1" applyFont="1" applyFill="1" applyBorder="1" applyAlignment="1" applyProtection="1">
      <alignment horizontal="left"/>
    </xf>
    <xf numFmtId="0" fontId="11" fillId="10" borderId="8" xfId="0" applyNumberFormat="1" applyFont="1" applyFill="1" applyBorder="1" applyAlignment="1" applyProtection="1">
      <alignment horizontal="left" indent="1"/>
    </xf>
    <xf numFmtId="0" fontId="11" fillId="10" borderId="9" xfId="0" applyNumberFormat="1" applyFont="1" applyFill="1" applyBorder="1" applyAlignment="1" applyProtection="1">
      <alignment horizontal="left" indent="1"/>
    </xf>
    <xf numFmtId="37" fontId="8" fillId="10" borderId="2" xfId="0" applyNumberFormat="1" applyFont="1" applyFill="1" applyBorder="1" applyAlignment="1" applyProtection="1">
      <alignment horizontal="right"/>
      <protection locked="0"/>
    </xf>
    <xf numFmtId="37" fontId="23" fillId="9" borderId="2" xfId="0" applyNumberFormat="1" applyFont="1" applyFill="1" applyBorder="1" applyAlignment="1" applyProtection="1">
      <protection locked="0"/>
    </xf>
    <xf numFmtId="37" fontId="23" fillId="9" borderId="2" xfId="0" applyNumberFormat="1" applyFont="1" applyFill="1" applyBorder="1" applyAlignment="1" applyProtection="1"/>
    <xf numFmtId="0" fontId="11" fillId="0" borderId="0" xfId="0" applyNumberFormat="1" applyFont="1" applyFill="1" applyAlignment="1" applyProtection="1">
      <alignment horizontal="center"/>
    </xf>
    <xf numFmtId="0" fontId="11" fillId="0" borderId="3" xfId="0" applyNumberFormat="1" applyFont="1" applyFill="1" applyBorder="1" applyAlignment="1" applyProtection="1">
      <alignment horizontal="left"/>
      <protection locked="0"/>
    </xf>
    <xf numFmtId="37" fontId="8" fillId="10" borderId="2" xfId="0" applyNumberFormat="1" applyFont="1" applyFill="1" applyBorder="1" applyAlignment="1" applyProtection="1">
      <alignment horizontal="right"/>
    </xf>
    <xf numFmtId="0" fontId="11" fillId="0" borderId="2" xfId="0" applyNumberFormat="1" applyFont="1" applyFill="1" applyBorder="1" applyAlignment="1" applyProtection="1">
      <alignment horizontal="left"/>
      <protection locked="0"/>
    </xf>
    <xf numFmtId="0" fontId="11" fillId="0" borderId="8" xfId="0" applyNumberFormat="1" applyFont="1" applyFill="1" applyBorder="1" applyAlignment="1" applyProtection="1">
      <alignment horizontal="left"/>
      <protection locked="0"/>
    </xf>
    <xf numFmtId="0" fontId="10" fillId="8" borderId="7" xfId="0" applyNumberFormat="1" applyFont="1" applyFill="1" applyBorder="1" applyAlignment="1" applyProtection="1"/>
    <xf numFmtId="0" fontId="10" fillId="8" borderId="8" xfId="0" applyNumberFormat="1" applyFont="1" applyFill="1" applyBorder="1" applyAlignment="1" applyProtection="1"/>
    <xf numFmtId="0" fontId="10" fillId="8" borderId="9" xfId="0" applyNumberFormat="1" applyFont="1" applyFill="1" applyBorder="1" applyAlignment="1" applyProtection="1"/>
    <xf numFmtId="37" fontId="11" fillId="8" borderId="2" xfId="0" applyNumberFormat="1" applyFont="1" applyFill="1" applyBorder="1" applyAlignment="1" applyProtection="1">
      <alignment horizontal="right"/>
    </xf>
    <xf numFmtId="0" fontId="11" fillId="0" borderId="12" xfId="0" applyNumberFormat="1" applyFont="1" applyFill="1" applyBorder="1" applyAlignment="1" applyProtection="1">
      <alignment horizontal="left"/>
      <protection locked="0"/>
    </xf>
    <xf numFmtId="0" fontId="11" fillId="10" borderId="7" xfId="0" applyNumberFormat="1" applyFont="1" applyFill="1" applyBorder="1" applyAlignment="1" applyProtection="1"/>
    <xf numFmtId="0" fontId="11" fillId="10" borderId="8" xfId="0" applyNumberFormat="1" applyFont="1" applyFill="1" applyBorder="1" applyAlignment="1" applyProtection="1"/>
    <xf numFmtId="0" fontId="11" fillId="10" borderId="9" xfId="0" applyNumberFormat="1" applyFont="1" applyFill="1" applyBorder="1" applyAlignment="1" applyProtection="1"/>
    <xf numFmtId="0" fontId="11" fillId="10" borderId="2" xfId="0" applyNumberFormat="1" applyFont="1" applyFill="1" applyBorder="1" applyAlignment="1" applyProtection="1">
      <alignment horizontal="right"/>
    </xf>
    <xf numFmtId="0" fontId="11" fillId="7" borderId="2" xfId="0" applyNumberFormat="1" applyFont="1" applyFill="1" applyBorder="1" applyAlignment="1" applyProtection="1">
      <alignment horizontal="right"/>
    </xf>
    <xf numFmtId="37" fontId="8" fillId="0" borderId="2" xfId="0" applyNumberFormat="1" applyFont="1" applyFill="1" applyBorder="1" applyAlignment="1" applyProtection="1">
      <alignment horizontal="right"/>
      <protection locked="0"/>
    </xf>
    <xf numFmtId="0" fontId="11" fillId="0" borderId="7" xfId="0" applyNumberFormat="1" applyFont="1" applyFill="1" applyBorder="1" applyAlignment="1" applyProtection="1">
      <alignment horizontal="left" indent="1"/>
    </xf>
    <xf numFmtId="0" fontId="11" fillId="0" borderId="7" xfId="0" applyNumberFormat="1" applyFont="1" applyFill="1" applyBorder="1" applyAlignment="1" applyProtection="1"/>
    <xf numFmtId="0" fontId="11" fillId="0" borderId="2" xfId="0" applyNumberFormat="1" applyFont="1" applyFill="1" applyBorder="1" applyAlignment="1" applyProtection="1">
      <alignment horizontal="right"/>
    </xf>
    <xf numFmtId="0" fontId="10" fillId="8" borderId="7" xfId="0" applyNumberFormat="1" applyFont="1" applyFill="1" applyBorder="1" applyAlignment="1" applyProtection="1">
      <alignment horizontal="left"/>
    </xf>
    <xf numFmtId="0" fontId="10" fillId="8" borderId="8" xfId="0" applyNumberFormat="1" applyFont="1" applyFill="1" applyBorder="1" applyAlignment="1" applyProtection="1">
      <alignment wrapText="1"/>
    </xf>
    <xf numFmtId="0" fontId="10" fillId="8" borderId="9" xfId="0" applyNumberFormat="1" applyFont="1" applyFill="1" applyBorder="1" applyAlignment="1" applyProtection="1">
      <alignment wrapText="1"/>
    </xf>
    <xf numFmtId="0" fontId="11" fillId="0" borderId="0" xfId="0" applyNumberFormat="1" applyFont="1" applyFill="1" applyAlignment="1" applyProtection="1">
      <alignment horizontal="left"/>
      <protection locked="0"/>
    </xf>
    <xf numFmtId="0" fontId="11" fillId="10" borderId="7" xfId="0" applyNumberFormat="1" applyFont="1" applyFill="1" applyBorder="1" applyAlignment="1" applyProtection="1">
      <alignment vertical="top"/>
    </xf>
    <xf numFmtId="0" fontId="11" fillId="10" borderId="8" xfId="0" applyNumberFormat="1" applyFont="1" applyFill="1" applyBorder="1" applyAlignment="1" applyProtection="1">
      <alignment vertical="top"/>
    </xf>
    <xf numFmtId="0" fontId="11" fillId="10" borderId="9" xfId="0" applyNumberFormat="1" applyFont="1" applyFill="1" applyBorder="1" applyAlignment="1" applyProtection="1">
      <alignment vertical="top"/>
    </xf>
    <xf numFmtId="0" fontId="11" fillId="0" borderId="12" xfId="0" applyNumberFormat="1" applyFont="1" applyFill="1" applyBorder="1" applyAlignment="1" applyProtection="1"/>
    <xf numFmtId="0" fontId="10" fillId="10" borderId="7" xfId="0" applyNumberFormat="1" applyFont="1" applyFill="1" applyBorder="1" applyAlignment="1" applyProtection="1"/>
    <xf numFmtId="0" fontId="10" fillId="10" borderId="8" xfId="0" applyNumberFormat="1" applyFont="1" applyFill="1" applyBorder="1" applyAlignment="1" applyProtection="1"/>
    <xf numFmtId="0" fontId="10" fillId="10" borderId="9" xfId="0" applyNumberFormat="1" applyFont="1" applyFill="1" applyBorder="1" applyAlignment="1" applyProtection="1"/>
    <xf numFmtId="0" fontId="11" fillId="0" borderId="12" xfId="0" applyNumberFormat="1" applyFont="1" applyFill="1" applyBorder="1" applyAlignment="1" applyProtection="1">
      <alignment horizontal="left"/>
    </xf>
    <xf numFmtId="0" fontId="11" fillId="0" borderId="0" xfId="0" applyNumberFormat="1" applyFont="1" applyFill="1" applyAlignment="1" applyProtection="1">
      <alignment horizontal="left"/>
    </xf>
    <xf numFmtId="0" fontId="8" fillId="10" borderId="2" xfId="0" applyNumberFormat="1" applyFont="1" applyFill="1" applyBorder="1" applyAlignment="1" applyProtection="1">
      <alignment horizontal="right"/>
    </xf>
    <xf numFmtId="37" fontId="11" fillId="10" borderId="2" xfId="0" applyNumberFormat="1" applyFont="1" applyFill="1" applyBorder="1" applyAlignment="1" applyProtection="1">
      <alignment horizontal="right"/>
    </xf>
    <xf numFmtId="0" fontId="11" fillId="8" borderId="2" xfId="0" applyNumberFormat="1" applyFont="1" applyFill="1" applyBorder="1" applyAlignment="1" applyProtection="1"/>
    <xf numFmtId="37" fontId="11" fillId="0" borderId="0" xfId="0" applyNumberFormat="1" applyFont="1" applyFill="1" applyAlignment="1" applyProtection="1">
      <alignment horizontal="center"/>
    </xf>
    <xf numFmtId="0" fontId="11" fillId="0" borderId="0" xfId="0" applyNumberFormat="1" applyFont="1" applyFill="1" applyAlignment="1" applyProtection="1">
      <alignment horizontal="right"/>
    </xf>
    <xf numFmtId="0" fontId="9" fillId="6" borderId="1" xfId="0" applyNumberFormat="1" applyFont="1" applyFill="1" applyBorder="1" applyAlignment="1" applyProtection="1">
      <alignment horizontal="right" vertical="center" wrapText="1"/>
    </xf>
    <xf numFmtId="0" fontId="9" fillId="6" borderId="12" xfId="0" applyNumberFormat="1" applyFont="1" applyFill="1" applyBorder="1" applyAlignment="1" applyProtection="1">
      <alignment horizontal="left" vertical="center"/>
    </xf>
    <xf numFmtId="0" fontId="0" fillId="0" borderId="12" xfId="0" applyNumberFormat="1" applyFill="1" applyBorder="1" applyAlignment="1" applyProtection="1">
      <alignment vertical="center"/>
    </xf>
    <xf numFmtId="0" fontId="9" fillId="6" borderId="12" xfId="0" applyNumberFormat="1" applyFont="1" applyFill="1" applyBorder="1" applyAlignment="1" applyProtection="1">
      <alignment vertical="top" wrapText="1"/>
    </xf>
    <xf numFmtId="0" fontId="18" fillId="6" borderId="12" xfId="0" applyNumberFormat="1" applyFont="1" applyFill="1" applyBorder="1" applyAlignment="1" applyProtection="1">
      <alignment vertical="top" wrapText="1"/>
    </xf>
    <xf numFmtId="0" fontId="0" fillId="0" borderId="0" xfId="0" applyNumberFormat="1" applyFill="1" applyAlignment="1" applyProtection="1">
      <alignment vertical="top"/>
    </xf>
    <xf numFmtId="0" fontId="9" fillId="6" borderId="0" xfId="0" applyNumberFormat="1" applyFont="1" applyFill="1" applyAlignment="1" applyProtection="1">
      <alignment vertical="top" wrapText="1"/>
    </xf>
    <xf numFmtId="0" fontId="18" fillId="6" borderId="3" xfId="0" applyNumberFormat="1" applyFont="1" applyFill="1" applyBorder="1" applyAlignment="1" applyProtection="1">
      <alignment vertical="top" wrapText="1"/>
    </xf>
    <xf numFmtId="0" fontId="17" fillId="6" borderId="13" xfId="0" applyNumberFormat="1" applyFont="1" applyFill="1" applyBorder="1" applyAlignment="1" applyProtection="1">
      <alignment horizontal="right"/>
    </xf>
    <xf numFmtId="0" fontId="17" fillId="6" borderId="0" xfId="0" applyNumberFormat="1" applyFont="1" applyFill="1" applyAlignment="1" applyProtection="1"/>
    <xf numFmtId="0" fontId="17" fillId="6" borderId="14" xfId="0" applyNumberFormat="1" applyFont="1" applyFill="1" applyBorder="1" applyAlignment="1" applyProtection="1"/>
    <xf numFmtId="0" fontId="17" fillId="6" borderId="15" xfId="0" applyNumberFormat="1" applyFont="1" applyFill="1" applyBorder="1" applyAlignment="1" applyProtection="1">
      <alignment horizontal="right"/>
    </xf>
    <xf numFmtId="0" fontId="17" fillId="6" borderId="3" xfId="0" applyNumberFormat="1" applyFont="1" applyFill="1" applyBorder="1" applyAlignment="1" applyProtection="1"/>
    <xf numFmtId="0" fontId="17" fillId="6" borderId="10" xfId="0" applyNumberFormat="1" applyFont="1" applyFill="1" applyBorder="1" applyAlignment="1" applyProtection="1"/>
    <xf numFmtId="0" fontId="9" fillId="6" borderId="2" xfId="0" applyNumberFormat="1" applyFont="1" applyFill="1" applyBorder="1" applyAlignment="1" applyProtection="1">
      <alignment horizontal="right" vertical="top" wrapText="1"/>
    </xf>
    <xf numFmtId="0" fontId="11" fillId="9" borderId="7" xfId="0" applyNumberFormat="1" applyFont="1" applyFill="1" applyBorder="1" applyAlignment="1" applyProtection="1">
      <alignment horizontal="left" indent="1"/>
    </xf>
    <xf numFmtId="0" fontId="11" fillId="9" borderId="8" xfId="0" applyNumberFormat="1" applyFont="1" applyFill="1" applyBorder="1" applyAlignment="1" applyProtection="1">
      <alignment horizontal="left"/>
    </xf>
    <xf numFmtId="0" fontId="11" fillId="9" borderId="8" xfId="0" applyNumberFormat="1" applyFont="1" applyFill="1" applyBorder="1" applyAlignment="1" applyProtection="1">
      <alignment horizontal="left" indent="1"/>
    </xf>
    <xf numFmtId="0" fontId="11" fillId="9" borderId="9" xfId="0" applyNumberFormat="1" applyFont="1" applyFill="1" applyBorder="1" applyAlignment="1" applyProtection="1">
      <alignment horizontal="left" indent="1"/>
    </xf>
    <xf numFmtId="0" fontId="11" fillId="8" borderId="7" xfId="0" applyNumberFormat="1" applyFont="1" applyFill="1" applyBorder="1" applyAlignment="1" applyProtection="1">
      <alignment horizontal="left" indent="1"/>
    </xf>
    <xf numFmtId="0" fontId="11" fillId="8" borderId="8" xfId="0" applyNumberFormat="1" applyFont="1" applyFill="1" applyBorder="1" applyAlignment="1" applyProtection="1">
      <alignment horizontal="left"/>
    </xf>
    <xf numFmtId="0" fontId="11" fillId="8" borderId="8" xfId="0" applyNumberFormat="1" applyFont="1" applyFill="1" applyBorder="1" applyAlignment="1" applyProtection="1">
      <alignment horizontal="left" indent="1"/>
    </xf>
    <xf numFmtId="0" fontId="11" fillId="8" borderId="9" xfId="0" applyNumberFormat="1" applyFont="1" applyFill="1" applyBorder="1" applyAlignment="1" applyProtection="1">
      <alignment horizontal="left" indent="1"/>
    </xf>
    <xf numFmtId="37" fontId="11" fillId="8" borderId="2" xfId="0" applyNumberFormat="1" applyFont="1" applyFill="1" applyBorder="1" applyAlignment="1" applyProtection="1">
      <alignment horizontal="right"/>
      <protection hidden="1"/>
    </xf>
    <xf numFmtId="0" fontId="13" fillId="12" borderId="2" xfId="0" applyNumberFormat="1" applyFont="1" applyFill="1" applyBorder="1" applyAlignment="1" applyProtection="1">
      <alignment horizontal="right"/>
    </xf>
    <xf numFmtId="0" fontId="13" fillId="9" borderId="7" xfId="0" applyNumberFormat="1" applyFont="1" applyFill="1" applyBorder="1" applyAlignment="1" applyProtection="1">
      <alignment horizontal="left" indent="1"/>
    </xf>
    <xf numFmtId="0" fontId="11" fillId="8" borderId="8" xfId="0" applyNumberFormat="1" applyFont="1" applyFill="1" applyBorder="1" applyAlignment="1" applyProtection="1"/>
    <xf numFmtId="0" fontId="11" fillId="8" borderId="9" xfId="0" applyNumberFormat="1" applyFont="1" applyFill="1" applyBorder="1" applyAlignment="1" applyProtection="1"/>
    <xf numFmtId="37" fontId="8" fillId="0" borderId="2" xfId="0" applyNumberFormat="1" applyFont="1" applyFill="1" applyBorder="1" applyAlignment="1" applyProtection="1">
      <alignment horizontal="right"/>
    </xf>
    <xf numFmtId="0" fontId="10" fillId="7" borderId="8" xfId="0" applyNumberFormat="1" applyFont="1" applyFill="1" applyBorder="1" applyAlignment="1" applyProtection="1">
      <alignment wrapText="1"/>
    </xf>
    <xf numFmtId="0" fontId="10" fillId="7" borderId="9" xfId="0" applyNumberFormat="1" applyFont="1" applyFill="1" applyBorder="1" applyAlignment="1" applyProtection="1">
      <alignment wrapText="1"/>
    </xf>
    <xf numFmtId="0" fontId="11" fillId="10" borderId="7" xfId="0" applyNumberFormat="1" applyFont="1" applyFill="1" applyBorder="1" applyAlignment="1" applyProtection="1">
      <alignment horizontal="left" vertical="center" indent="1"/>
    </xf>
    <xf numFmtId="0" fontId="11" fillId="10" borderId="8" xfId="0" applyNumberFormat="1" applyFont="1" applyFill="1" applyBorder="1" applyAlignment="1" applyProtection="1">
      <alignment horizontal="left" vertical="center"/>
    </xf>
    <xf numFmtId="0" fontId="11" fillId="10" borderId="8" xfId="0" applyNumberFormat="1" applyFont="1" applyFill="1" applyBorder="1" applyAlignment="1" applyProtection="1">
      <alignment horizontal="left" vertical="center" indent="1"/>
    </xf>
    <xf numFmtId="0" fontId="11" fillId="10" borderId="9" xfId="0" applyNumberFormat="1" applyFont="1" applyFill="1" applyBorder="1" applyAlignment="1" applyProtection="1">
      <alignment horizontal="left" vertical="center" indent="1"/>
    </xf>
    <xf numFmtId="0" fontId="11" fillId="8" borderId="9" xfId="0" applyNumberFormat="1" applyFont="1" applyFill="1" applyBorder="1" applyAlignment="1" applyProtection="1">
      <alignment horizontal="left"/>
    </xf>
    <xf numFmtId="0" fontId="11" fillId="0" borderId="8" xfId="0" applyNumberFormat="1" applyFont="1" applyFill="1" applyBorder="1" applyAlignment="1" applyProtection="1">
      <alignment horizontal="left" indent="1"/>
    </xf>
    <xf numFmtId="0" fontId="14" fillId="10" borderId="2" xfId="0" applyNumberFormat="1" applyFont="1" applyFill="1" applyBorder="1" applyAlignment="1" applyProtection="1">
      <alignment horizontal="right"/>
    </xf>
    <xf numFmtId="0" fontId="9" fillId="6" borderId="1" xfId="0" applyNumberFormat="1" applyFont="1" applyFill="1" applyBorder="1" applyAlignment="1" applyProtection="1">
      <alignment vertical="top"/>
    </xf>
    <xf numFmtId="0" fontId="9" fillId="6" borderId="12" xfId="0" applyNumberFormat="1" applyFont="1" applyFill="1" applyBorder="1" applyAlignment="1" applyProtection="1">
      <alignment vertical="top"/>
    </xf>
    <xf numFmtId="0" fontId="9" fillId="6" borderId="12" xfId="0" applyNumberFormat="1" applyFont="1" applyFill="1" applyBorder="1" applyAlignment="1" applyProtection="1"/>
    <xf numFmtId="0" fontId="9" fillId="6" borderId="12" xfId="0" applyNumberFormat="1" applyFont="1" applyFill="1" applyBorder="1" applyAlignment="1" applyProtection="1">
      <alignment horizontal="center" vertical="top" wrapText="1"/>
    </xf>
    <xf numFmtId="0" fontId="9" fillId="6" borderId="13" xfId="0" applyNumberFormat="1" applyFont="1" applyFill="1" applyBorder="1" applyAlignment="1" applyProtection="1"/>
    <xf numFmtId="0" fontId="9" fillId="6" borderId="0" xfId="0" applyNumberFormat="1" applyFont="1" applyFill="1" applyAlignment="1" applyProtection="1"/>
    <xf numFmtId="0" fontId="9" fillId="6" borderId="3" xfId="0" applyNumberFormat="1" applyFont="1" applyFill="1" applyBorder="1" applyAlignment="1" applyProtection="1">
      <alignment horizontal="center" vertical="top" wrapText="1"/>
    </xf>
    <xf numFmtId="0" fontId="9" fillId="6" borderId="14" xfId="0" applyNumberFormat="1" applyFont="1" applyFill="1" applyBorder="1" applyAlignment="1" applyProtection="1"/>
    <xf numFmtId="0" fontId="11" fillId="12" borderId="2" xfId="0" applyNumberFormat="1" applyFont="1" applyFill="1" applyBorder="1" applyAlignment="1" applyProtection="1"/>
    <xf numFmtId="0" fontId="1" fillId="0" borderId="7" xfId="0" applyNumberFormat="1" applyFont="1" applyFill="1" applyBorder="1" applyAlignment="1" applyProtection="1">
      <alignment horizontal="left"/>
    </xf>
    <xf numFmtId="0" fontId="1" fillId="9" borderId="8" xfId="0" applyNumberFormat="1" applyFont="1" applyFill="1" applyBorder="1" applyAlignment="1" applyProtection="1">
      <alignment horizontal="left" indent="1"/>
    </xf>
    <xf numFmtId="0" fontId="1" fillId="0" borderId="9" xfId="0" applyNumberFormat="1" applyFont="1" applyFill="1" applyBorder="1" applyAlignment="1" applyProtection="1">
      <alignment horizontal="left"/>
    </xf>
    <xf numFmtId="0" fontId="1" fillId="0" borderId="7" xfId="0" applyNumberFormat="1" applyFont="1" applyFill="1" applyBorder="1" applyAlignment="1" applyProtection="1">
      <alignment horizontal="left" indent="1"/>
    </xf>
    <xf numFmtId="0" fontId="1" fillId="9" borderId="8" xfId="0" applyNumberFormat="1" applyFont="1" applyFill="1" applyBorder="1" applyAlignment="1" applyProtection="1">
      <alignment horizontal="left"/>
    </xf>
    <xf numFmtId="0" fontId="1" fillId="0" borderId="9" xfId="0" applyNumberFormat="1" applyFont="1" applyFill="1" applyBorder="1" applyAlignment="1" applyProtection="1">
      <alignment horizontal="left" indent="1"/>
    </xf>
    <xf numFmtId="0" fontId="2" fillId="8" borderId="7" xfId="0" applyNumberFormat="1" applyFont="1" applyFill="1" applyBorder="1" applyAlignment="1" applyProtection="1">
      <alignment horizontal="left"/>
    </xf>
    <xf numFmtId="0" fontId="1" fillId="8" borderId="8" xfId="0" applyNumberFormat="1" applyFont="1" applyFill="1" applyBorder="1" applyAlignment="1" applyProtection="1">
      <alignment horizontal="left"/>
    </xf>
    <xf numFmtId="0" fontId="1" fillId="8" borderId="9" xfId="0" applyNumberFormat="1" applyFont="1" applyFill="1" applyBorder="1" applyAlignment="1" applyProtection="1">
      <alignment horizontal="left"/>
    </xf>
    <xf numFmtId="0" fontId="9" fillId="6" borderId="3" xfId="0" applyNumberFormat="1" applyFont="1" applyFill="1" applyBorder="1" applyAlignment="1" applyProtection="1">
      <alignment vertical="top" wrapText="1"/>
    </xf>
    <xf numFmtId="0" fontId="9" fillId="6" borderId="13" xfId="0" applyNumberFormat="1" applyFont="1" applyFill="1" applyBorder="1" applyAlignment="1" applyProtection="1">
      <alignment horizontal="right"/>
    </xf>
    <xf numFmtId="0" fontId="9" fillId="6" borderId="3" xfId="0" applyNumberFormat="1" applyFont="1" applyFill="1" applyBorder="1" applyAlignment="1" applyProtection="1"/>
    <xf numFmtId="0" fontId="9" fillId="6" borderId="10" xfId="0" applyNumberFormat="1" applyFont="1" applyFill="1" applyBorder="1" applyAlignment="1" applyProtection="1"/>
    <xf numFmtId="0" fontId="6" fillId="2" borderId="6" xfId="0" applyNumberFormat="1" applyFont="1" applyFill="1" applyBorder="1" applyAlignment="1" applyProtection="1">
      <alignment horizontal="right"/>
    </xf>
    <xf numFmtId="0" fontId="11" fillId="9" borderId="7" xfId="0" applyNumberFormat="1" applyFont="1" applyFill="1" applyBorder="1" applyAlignment="1" applyProtection="1"/>
    <xf numFmtId="0" fontId="11" fillId="9" borderId="8" xfId="0" applyNumberFormat="1" applyFont="1" applyFill="1" applyBorder="1" applyAlignment="1" applyProtection="1"/>
    <xf numFmtId="0" fontId="11" fillId="9" borderId="9" xfId="0" applyNumberFormat="1" applyFont="1" applyFill="1" applyBorder="1" applyAlignment="1" applyProtection="1"/>
    <xf numFmtId="37" fontId="11" fillId="0" borderId="2" xfId="0" applyNumberFormat="1" applyFont="1" applyFill="1" applyBorder="1" applyAlignment="1" applyProtection="1">
      <alignment horizontal="right"/>
    </xf>
    <xf numFmtId="0" fontId="11" fillId="9" borderId="7" xfId="0" applyNumberFormat="1" applyFont="1" applyFill="1" applyBorder="1" applyAlignment="1" applyProtection="1">
      <alignment horizontal="left"/>
    </xf>
    <xf numFmtId="0" fontId="11" fillId="0" borderId="7" xfId="0" applyNumberFormat="1" applyFont="1" applyFill="1" applyBorder="1" applyAlignment="1" applyProtection="1">
      <alignment horizontal="left"/>
    </xf>
    <xf numFmtId="37" fontId="11" fillId="10" borderId="2" xfId="0" applyNumberFormat="1" applyFont="1" applyFill="1" applyBorder="1" applyAlignment="1" applyProtection="1">
      <alignment horizontal="left"/>
      <protection locked="0"/>
    </xf>
    <xf numFmtId="0" fontId="11" fillId="0" borderId="0" xfId="0" applyNumberFormat="1" applyFont="1" applyFill="1" applyAlignment="1" applyProtection="1">
      <alignment wrapText="1"/>
    </xf>
    <xf numFmtId="0" fontId="11" fillId="10" borderId="7" xfId="0" applyNumberFormat="1" applyFont="1" applyFill="1" applyBorder="1" applyAlignment="1" applyProtection="1">
      <alignment horizontal="left"/>
    </xf>
    <xf numFmtId="0" fontId="11" fillId="10" borderId="2" xfId="0" applyNumberFormat="1" applyFont="1" applyFill="1" applyBorder="1" applyAlignment="1" applyProtection="1"/>
    <xf numFmtId="0" fontId="10" fillId="0" borderId="7" xfId="0" applyNumberFormat="1" applyFont="1" applyFill="1" applyBorder="1" applyAlignment="1" applyProtection="1"/>
    <xf numFmtId="0" fontId="10" fillId="0" borderId="8" xfId="0" applyNumberFormat="1" applyFont="1" applyFill="1" applyBorder="1" applyAlignment="1" applyProtection="1"/>
    <xf numFmtId="0" fontId="11" fillId="0" borderId="2" xfId="0" applyNumberFormat="1" applyFont="1" applyFill="1" applyBorder="1" applyAlignment="1" applyProtection="1"/>
    <xf numFmtId="37" fontId="11" fillId="8" borderId="2" xfId="0" applyNumberFormat="1" applyFont="1" applyFill="1" applyBorder="1" applyAlignment="1" applyProtection="1"/>
    <xf numFmtId="37" fontId="8" fillId="8" borderId="2" xfId="0" applyNumberFormat="1" applyFont="1" applyFill="1" applyBorder="1" applyAlignment="1" applyProtection="1">
      <protection locked="0"/>
    </xf>
    <xf numFmtId="37" fontId="11" fillId="8" borderId="2" xfId="0" applyNumberFormat="1" applyFont="1" applyFill="1" applyBorder="1" applyAlignment="1" applyProtection="1">
      <protection hidden="1"/>
    </xf>
    <xf numFmtId="0" fontId="9" fillId="6" borderId="1" xfId="0" applyNumberFormat="1" applyFont="1" applyFill="1" applyBorder="1" applyAlignment="1" applyProtection="1">
      <alignment horizontal="right" vertical="top"/>
    </xf>
    <xf numFmtId="0" fontId="19" fillId="6" borderId="12" xfId="0" applyNumberFormat="1" applyFont="1" applyFill="1" applyBorder="1" applyAlignment="1" applyProtection="1"/>
    <xf numFmtId="0" fontId="9" fillId="6" borderId="4" xfId="0" applyNumberFormat="1" applyFont="1" applyFill="1" applyBorder="1" applyAlignment="1" applyProtection="1">
      <alignment horizontal="center" wrapText="1"/>
    </xf>
    <xf numFmtId="0" fontId="19" fillId="6" borderId="13" xfId="0" applyNumberFormat="1" applyFont="1" applyFill="1" applyBorder="1" applyAlignment="1" applyProtection="1">
      <alignment horizontal="right"/>
    </xf>
    <xf numFmtId="0" fontId="19" fillId="6" borderId="0" xfId="0" applyNumberFormat="1" applyFont="1" applyFill="1" applyAlignment="1" applyProtection="1"/>
    <xf numFmtId="0" fontId="19" fillId="6" borderId="14" xfId="0" applyNumberFormat="1" applyFont="1" applyFill="1" applyBorder="1" applyAlignment="1" applyProtection="1"/>
    <xf numFmtId="0" fontId="3" fillId="2" borderId="4" xfId="0" applyNumberFormat="1" applyFont="1" applyFill="1" applyBorder="1" applyAlignment="1" applyProtection="1">
      <alignment horizontal="center" wrapText="1"/>
    </xf>
    <xf numFmtId="0" fontId="26" fillId="6" borderId="5" xfId="0" applyNumberFormat="1" applyFont="1" applyFill="1" applyBorder="1" applyAlignment="1" applyProtection="1">
      <alignment horizontal="right" wrapText="1"/>
    </xf>
    <xf numFmtId="0" fontId="3" fillId="2" borderId="2" xfId="0" applyNumberFormat="1" applyFont="1" applyFill="1" applyBorder="1" applyAlignment="1" applyProtection="1">
      <alignment horizontal="right" wrapText="1"/>
    </xf>
    <xf numFmtId="0" fontId="3" fillId="2" borderId="7" xfId="0" applyNumberFormat="1" applyFont="1" applyFill="1" applyBorder="1" applyAlignment="1" applyProtection="1">
      <alignment horizontal="right" wrapText="1"/>
    </xf>
    <xf numFmtId="0" fontId="26" fillId="6" borderId="2" xfId="0" applyNumberFormat="1" applyFont="1" applyFill="1" applyBorder="1" applyAlignment="1" applyProtection="1">
      <alignment horizontal="right" wrapText="1"/>
    </xf>
    <xf numFmtId="0" fontId="6" fillId="2" borderId="2" xfId="0" applyNumberFormat="1" applyFont="1" applyFill="1" applyBorder="1" applyAlignment="1" applyProtection="1">
      <alignment horizontal="right"/>
    </xf>
    <xf numFmtId="0" fontId="11" fillId="13" borderId="2" xfId="0" applyNumberFormat="1" applyFont="1" applyFill="1" applyBorder="1" applyAlignment="1" applyProtection="1">
      <alignment horizontal="right"/>
    </xf>
    <xf numFmtId="0" fontId="10" fillId="3" borderId="7" xfId="0" applyNumberFormat="1" applyFont="1" applyFill="1" applyBorder="1" applyAlignment="1" applyProtection="1">
      <alignment horizontal="left"/>
    </xf>
    <xf numFmtId="0" fontId="10" fillId="3" borderId="8" xfId="0" applyNumberFormat="1" applyFont="1" applyFill="1" applyBorder="1" applyAlignment="1" applyProtection="1">
      <alignment horizontal="left"/>
    </xf>
    <xf numFmtId="0" fontId="10" fillId="3" borderId="9" xfId="0" applyNumberFormat="1" applyFont="1" applyFill="1" applyBorder="1" applyAlignment="1" applyProtection="1">
      <alignment horizontal="left"/>
    </xf>
    <xf numFmtId="0" fontId="11" fillId="4" borderId="7" xfId="0" applyNumberFormat="1" applyFont="1" applyFill="1" applyBorder="1" applyAlignment="1" applyProtection="1">
      <alignment horizontal="left"/>
    </xf>
    <xf numFmtId="0" fontId="11" fillId="4" borderId="8" xfId="0" applyNumberFormat="1" applyFont="1" applyFill="1" applyBorder="1" applyAlignment="1" applyProtection="1">
      <alignment horizontal="left"/>
    </xf>
    <xf numFmtId="0" fontId="11" fillId="4" borderId="8" xfId="0" applyNumberFormat="1" applyFont="1" applyFill="1" applyBorder="1" applyAlignment="1" applyProtection="1">
      <alignment horizontal="left" indent="1"/>
    </xf>
    <xf numFmtId="0" fontId="11" fillId="4" borderId="9" xfId="0" applyNumberFormat="1" applyFont="1" applyFill="1" applyBorder="1" applyAlignment="1" applyProtection="1">
      <alignment horizontal="left" indent="1"/>
    </xf>
    <xf numFmtId="37" fontId="8" fillId="0" borderId="2" xfId="0" applyNumberFormat="1" applyFont="1" applyFill="1" applyBorder="1" applyAlignment="1" applyProtection="1">
      <protection locked="0"/>
    </xf>
    <xf numFmtId="37" fontId="11" fillId="0" borderId="2" xfId="0" applyNumberFormat="1" applyFont="1" applyFill="1" applyBorder="1" applyAlignment="1" applyProtection="1"/>
    <xf numFmtId="0" fontId="10" fillId="5" borderId="7" xfId="0" applyNumberFormat="1" applyFont="1" applyFill="1" applyBorder="1" applyAlignment="1" applyProtection="1">
      <alignment horizontal="left"/>
    </xf>
    <xf numFmtId="0" fontId="11" fillId="5" borderId="8" xfId="0" applyNumberFormat="1" applyFont="1" applyFill="1" applyBorder="1" applyAlignment="1" applyProtection="1">
      <alignment horizontal="left"/>
    </xf>
    <xf numFmtId="0" fontId="11" fillId="5" borderId="9" xfId="0" applyNumberFormat="1" applyFont="1" applyFill="1" applyBorder="1" applyAlignment="1" applyProtection="1">
      <alignment horizontal="left"/>
    </xf>
    <xf numFmtId="0" fontId="11" fillId="0" borderId="9" xfId="0" applyNumberFormat="1" applyFont="1" applyFill="1" applyBorder="1" applyAlignment="1" applyProtection="1"/>
    <xf numFmtId="0" fontId="14" fillId="0" borderId="2" xfId="0" applyNumberFormat="1" applyFont="1" applyFill="1" applyBorder="1" applyAlignment="1" applyProtection="1"/>
    <xf numFmtId="0" fontId="11" fillId="4" borderId="9" xfId="0" applyNumberFormat="1" applyFont="1" applyFill="1" applyBorder="1" applyAlignment="1" applyProtection="1">
      <alignment horizontal="left"/>
    </xf>
    <xf numFmtId="0" fontId="14" fillId="7" borderId="2" xfId="0" applyNumberFormat="1" applyFont="1" applyFill="1" applyBorder="1" applyAlignment="1" applyProtection="1"/>
    <xf numFmtId="0" fontId="11" fillId="4" borderId="7" xfId="0" applyNumberFormat="1" applyFont="1" applyFill="1" applyBorder="1" applyAlignment="1" applyProtection="1">
      <alignment horizontal="left" indent="1"/>
    </xf>
    <xf numFmtId="0" fontId="11" fillId="4" borderId="7" xfId="0" applyNumberFormat="1" applyFont="1" applyFill="1" applyBorder="1" applyAlignment="1" applyProtection="1"/>
    <xf numFmtId="0" fontId="11" fillId="4" borderId="8" xfId="0" applyNumberFormat="1" applyFont="1" applyFill="1" applyBorder="1" applyAlignment="1" applyProtection="1"/>
    <xf numFmtId="0" fontId="11" fillId="4" borderId="9" xfId="0" applyNumberFormat="1" applyFont="1" applyFill="1" applyBorder="1" applyAlignment="1" applyProtection="1"/>
    <xf numFmtId="0" fontId="7" fillId="0" borderId="0" xfId="0" applyNumberFormat="1" applyFont="1" applyFill="1" applyAlignment="1" applyProtection="1"/>
    <xf numFmtId="0" fontId="17" fillId="0" borderId="0" xfId="0" applyNumberFormat="1" applyFont="1" applyFill="1" applyAlignment="1" applyProtection="1"/>
    <xf numFmtId="0" fontId="1" fillId="0" borderId="0" xfId="0" applyNumberFormat="1" applyFont="1" applyFill="1" applyAlignment="1" applyProtection="1"/>
    <xf numFmtId="0" fontId="6" fillId="2" borderId="1" xfId="0" applyNumberFormat="1" applyFont="1" applyFill="1" applyBorder="1" applyAlignment="1" applyProtection="1">
      <alignment horizontal="left" vertical="top"/>
    </xf>
    <xf numFmtId="0" fontId="6" fillId="2" borderId="12" xfId="0" applyNumberFormat="1" applyFont="1" applyFill="1" applyBorder="1" applyAlignment="1" applyProtection="1">
      <alignment horizontal="left" vertical="top" wrapText="1"/>
    </xf>
    <xf numFmtId="0" fontId="6" fillId="2" borderId="13" xfId="0" applyNumberFormat="1" applyFont="1" applyFill="1" applyBorder="1" applyAlignment="1" applyProtection="1">
      <alignment horizontal="left" vertical="top"/>
    </xf>
    <xf numFmtId="0" fontId="6" fillId="2" borderId="0" xfId="0" applyNumberFormat="1" applyFont="1" applyFill="1" applyAlignment="1" applyProtection="1">
      <alignment horizontal="left" vertical="top" wrapText="1"/>
    </xf>
    <xf numFmtId="0" fontId="6" fillId="2" borderId="0" xfId="0" applyNumberFormat="1" applyFont="1" applyFill="1" applyAlignment="1" applyProtection="1">
      <alignment horizontal="center"/>
    </xf>
    <xf numFmtId="0" fontId="6" fillId="2" borderId="14" xfId="0" applyNumberFormat="1" applyFont="1" applyFill="1" applyBorder="1" applyAlignment="1" applyProtection="1">
      <alignment horizontal="center"/>
    </xf>
    <xf numFmtId="0" fontId="20" fillId="2" borderId="15" xfId="0" applyNumberFormat="1" applyFont="1" applyFill="1" applyBorder="1" applyAlignment="1" applyProtection="1">
      <alignment horizontal="right"/>
    </xf>
    <xf numFmtId="0" fontId="20" fillId="2" borderId="3" xfId="0" applyNumberFormat="1" applyFont="1" applyFill="1" applyBorder="1" applyAlignment="1" applyProtection="1"/>
    <xf numFmtId="0" fontId="6" fillId="2" borderId="2" xfId="0" applyNumberFormat="1" applyFont="1" applyFill="1" applyBorder="1" applyAlignment="1" applyProtection="1">
      <alignment horizontal="right" wrapText="1"/>
    </xf>
    <xf numFmtId="0" fontId="25" fillId="0" borderId="0" xfId="0" applyNumberFormat="1" applyFont="1" applyFill="1" applyAlignment="1" applyProtection="1">
      <alignment horizontal="center" vertical="center"/>
    </xf>
    <xf numFmtId="0" fontId="1" fillId="12" borderId="2" xfId="0" applyNumberFormat="1" applyFont="1" applyFill="1" applyBorder="1" applyAlignment="1" applyProtection="1">
      <alignment horizontal="right"/>
    </xf>
    <xf numFmtId="0" fontId="2" fillId="3" borderId="7" xfId="0" applyNumberFormat="1" applyFont="1" applyFill="1" applyBorder="1" applyAlignment="1" applyProtection="1">
      <alignment horizontal="left"/>
    </xf>
    <xf numFmtId="0" fontId="2" fillId="3" borderId="8" xfId="0" applyNumberFormat="1" applyFont="1" applyFill="1" applyBorder="1" applyAlignment="1" applyProtection="1">
      <alignment horizontal="left"/>
    </xf>
    <xf numFmtId="0" fontId="2" fillId="3" borderId="9" xfId="0" applyNumberFormat="1" applyFont="1" applyFill="1" applyBorder="1" applyAlignment="1" applyProtection="1">
      <alignment horizontal="left"/>
    </xf>
    <xf numFmtId="0" fontId="1" fillId="3" borderId="2" xfId="0" applyNumberFormat="1" applyFont="1" applyFill="1" applyBorder="1" applyAlignment="1" applyProtection="1"/>
    <xf numFmtId="0" fontId="1" fillId="3" borderId="7" xfId="0" applyNumberFormat="1" applyFont="1" applyFill="1" applyBorder="1" applyAlignment="1" applyProtection="1">
      <alignment horizontal="left" indent="1"/>
    </xf>
    <xf numFmtId="0" fontId="2" fillId="3" borderId="8" xfId="0" applyNumberFormat="1" applyFont="1" applyFill="1" applyBorder="1" applyAlignment="1" applyProtection="1">
      <alignment horizontal="left"/>
      <protection hidden="1"/>
    </xf>
    <xf numFmtId="0" fontId="1" fillId="3" borderId="8" xfId="0" applyNumberFormat="1" applyFont="1" applyFill="1" applyBorder="1" applyAlignment="1" applyProtection="1">
      <alignment horizontal="left" indent="1"/>
    </xf>
    <xf numFmtId="0" fontId="1" fillId="3" borderId="9" xfId="0" applyNumberFormat="1" applyFont="1" applyFill="1" applyBorder="1" applyAlignment="1" applyProtection="1">
      <alignment horizontal="left" indent="1"/>
    </xf>
    <xf numFmtId="37" fontId="1" fillId="3" borderId="2" xfId="0" applyNumberFormat="1" applyFont="1" applyFill="1" applyBorder="1" applyAlignment="1" applyProtection="1"/>
    <xf numFmtId="0" fontId="1" fillId="4" borderId="7" xfId="0" applyNumberFormat="1" applyFont="1" applyFill="1" applyBorder="1" applyAlignment="1" applyProtection="1">
      <alignment horizontal="left" indent="2"/>
    </xf>
    <xf numFmtId="0" fontId="1" fillId="4" borderId="8" xfId="0" applyNumberFormat="1" applyFont="1" applyFill="1" applyBorder="1" applyAlignment="1" applyProtection="1">
      <alignment horizontal="left" indent="2"/>
    </xf>
    <xf numFmtId="0" fontId="1" fillId="4" borderId="8" xfId="0" applyNumberFormat="1" applyFont="1" applyFill="1" applyBorder="1" applyAlignment="1" applyProtection="1">
      <alignment horizontal="left"/>
    </xf>
    <xf numFmtId="0" fontId="1" fillId="4" borderId="9" xfId="0" applyNumberFormat="1" applyFont="1" applyFill="1" applyBorder="1" applyAlignment="1" applyProtection="1">
      <alignment horizontal="left" indent="2"/>
    </xf>
    <xf numFmtId="37" fontId="8" fillId="4" borderId="2" xfId="0" applyNumberFormat="1" applyFont="1" applyFill="1" applyBorder="1" applyAlignment="1" applyProtection="1">
      <alignment horizontal="right"/>
      <protection locked="0"/>
    </xf>
    <xf numFmtId="37" fontId="1" fillId="0" borderId="2" xfId="0" applyNumberFormat="1" applyFont="1" applyFill="1" applyBorder="1" applyAlignment="1" applyProtection="1">
      <alignment horizontal="right"/>
    </xf>
    <xf numFmtId="0" fontId="13" fillId="5" borderId="7" xfId="0" applyNumberFormat="1" applyFont="1" applyFill="1" applyBorder="1" applyAlignment="1" applyProtection="1">
      <alignment horizontal="left"/>
    </xf>
    <xf numFmtId="0" fontId="5" fillId="5" borderId="8" xfId="0" applyNumberFormat="1" applyFont="1" applyFill="1" applyBorder="1" applyAlignment="1" applyProtection="1">
      <alignment horizontal="left"/>
    </xf>
    <xf numFmtId="0" fontId="13" fillId="5" borderId="8" xfId="0" applyNumberFormat="1" applyFont="1" applyFill="1" applyBorder="1" applyAlignment="1" applyProtection="1">
      <alignment horizontal="left" indent="1"/>
    </xf>
    <xf numFmtId="0" fontId="13" fillId="5" borderId="9" xfId="0" applyNumberFormat="1" applyFont="1" applyFill="1" applyBorder="1" applyAlignment="1" applyProtection="1">
      <alignment horizontal="left" indent="1"/>
    </xf>
    <xf numFmtId="37" fontId="1" fillId="5" borderId="2" xfId="0" applyNumberFormat="1" applyFont="1" applyFill="1" applyBorder="1" applyAlignment="1" applyProtection="1">
      <alignment horizontal="right"/>
    </xf>
    <xf numFmtId="37" fontId="1" fillId="7" borderId="2" xfId="0" applyNumberFormat="1" applyFont="1" applyFill="1" applyBorder="1" applyAlignment="1" applyProtection="1">
      <protection hidden="1"/>
    </xf>
    <xf numFmtId="37" fontId="1" fillId="4" borderId="2" xfId="0" applyNumberFormat="1" applyFont="1" applyFill="1" applyBorder="1" applyAlignment="1" applyProtection="1">
      <alignment horizontal="right"/>
    </xf>
    <xf numFmtId="37" fontId="11" fillId="4" borderId="2" xfId="0" applyNumberFormat="1" applyFont="1" applyFill="1" applyBorder="1" applyAlignment="1" applyProtection="1">
      <alignment horizontal="right"/>
    </xf>
    <xf numFmtId="0" fontId="0" fillId="8" borderId="0" xfId="0" applyNumberFormat="1" applyFill="1" applyAlignment="1" applyProtection="1">
      <alignment horizontal="center"/>
    </xf>
    <xf numFmtId="37" fontId="11" fillId="5" borderId="2" xfId="0" applyNumberFormat="1" applyFont="1" applyFill="1" applyBorder="1" applyAlignment="1" applyProtection="1">
      <alignment horizontal="right"/>
    </xf>
    <xf numFmtId="0" fontId="1" fillId="10" borderId="7" xfId="0" applyNumberFormat="1" applyFont="1" applyFill="1" applyBorder="1" applyAlignment="1" applyProtection="1">
      <alignment horizontal="left"/>
    </xf>
    <xf numFmtId="0" fontId="1" fillId="14" borderId="8" xfId="0" applyNumberFormat="1" applyFont="1" applyFill="1" applyBorder="1" applyAlignment="1" applyProtection="1">
      <alignment horizontal="left" indent="2"/>
    </xf>
    <xf numFmtId="0" fontId="13" fillId="10" borderId="8" xfId="0" applyNumberFormat="1" applyFont="1" applyFill="1" applyBorder="1" applyAlignment="1" applyProtection="1">
      <alignment horizontal="left" indent="1"/>
    </xf>
    <xf numFmtId="0" fontId="13" fillId="10" borderId="9" xfId="0" applyNumberFormat="1" applyFont="1" applyFill="1" applyBorder="1" applyAlignment="1" applyProtection="1">
      <alignment horizontal="left" indent="1"/>
    </xf>
    <xf numFmtId="37" fontId="1" fillId="0" borderId="2" xfId="0" applyNumberFormat="1" applyFont="1" applyFill="1" applyBorder="1" applyAlignment="1" applyProtection="1">
      <protection hidden="1"/>
    </xf>
    <xf numFmtId="0" fontId="13" fillId="3" borderId="7" xfId="0" applyNumberFormat="1" applyFont="1" applyFill="1" applyBorder="1" applyAlignment="1" applyProtection="1">
      <alignment horizontal="left" indent="1"/>
    </xf>
    <xf numFmtId="0" fontId="5" fillId="3" borderId="8" xfId="0" applyNumberFormat="1" applyFont="1" applyFill="1" applyBorder="1" applyAlignment="1" applyProtection="1">
      <alignment horizontal="left"/>
    </xf>
    <xf numFmtId="0" fontId="13" fillId="3" borderId="8" xfId="0" applyNumberFormat="1" applyFont="1" applyFill="1" applyBorder="1" applyAlignment="1" applyProtection="1">
      <alignment horizontal="left" indent="1"/>
    </xf>
    <xf numFmtId="0" fontId="13" fillId="3" borderId="9" xfId="0" applyNumberFormat="1" applyFont="1" applyFill="1" applyBorder="1" applyAlignment="1" applyProtection="1">
      <alignment horizontal="left" indent="1"/>
    </xf>
    <xf numFmtId="0" fontId="1" fillId="3" borderId="2" xfId="0" applyNumberFormat="1" applyFont="1" applyFill="1" applyBorder="1" applyAlignment="1" applyProtection="1">
      <protection hidden="1"/>
    </xf>
    <xf numFmtId="37" fontId="8" fillId="4" borderId="2" xfId="0" applyNumberFormat="1" applyFont="1" applyFill="1" applyBorder="1" applyAlignment="1" applyProtection="1">
      <protection locked="0" hidden="1"/>
    </xf>
    <xf numFmtId="37" fontId="1" fillId="4" borderId="2" xfId="0" applyNumberFormat="1" applyFont="1" applyFill="1" applyBorder="1" applyAlignment="1" applyProtection="1">
      <protection hidden="1"/>
    </xf>
    <xf numFmtId="0" fontId="1" fillId="0" borderId="9" xfId="0" applyNumberFormat="1" applyFont="1" applyFill="1" applyBorder="1" applyAlignment="1" applyProtection="1">
      <alignment horizontal="left" indent="2"/>
    </xf>
    <xf numFmtId="37" fontId="1" fillId="5" borderId="2" xfId="0" applyNumberFormat="1" applyFont="1" applyFill="1" applyBorder="1" applyAlignment="1" applyProtection="1">
      <protection hidden="1"/>
    </xf>
    <xf numFmtId="0" fontId="13" fillId="5" borderId="8" xfId="0" applyNumberFormat="1" applyFont="1" applyFill="1" applyBorder="1" applyAlignment="1" applyProtection="1">
      <alignment horizontal="left"/>
    </xf>
    <xf numFmtId="0" fontId="13" fillId="7" borderId="7" xfId="0" applyNumberFormat="1" applyFont="1" applyFill="1" applyBorder="1" applyAlignment="1" applyProtection="1">
      <alignment horizontal="left" indent="1"/>
    </xf>
    <xf numFmtId="0" fontId="1" fillId="3" borderId="8" xfId="0" applyNumberFormat="1" applyFont="1" applyFill="1" applyBorder="1" applyAlignment="1" applyProtection="1">
      <alignment horizontal="left" indent="2"/>
    </xf>
    <xf numFmtId="0" fontId="13" fillId="7" borderId="9" xfId="0" applyNumberFormat="1" applyFont="1" applyFill="1" applyBorder="1" applyAlignment="1" applyProtection="1">
      <alignment horizontal="left" indent="1"/>
    </xf>
    <xf numFmtId="37" fontId="1" fillId="4" borderId="2" xfId="0" applyNumberFormat="1" applyFont="1" applyFill="1" applyBorder="1" applyAlignment="1" applyProtection="1">
      <alignment horizontal="right"/>
      <protection hidden="1"/>
    </xf>
    <xf numFmtId="0" fontId="13" fillId="5" borderId="8" xfId="0" applyNumberFormat="1" applyFont="1" applyFill="1" applyBorder="1" applyAlignment="1" applyProtection="1">
      <alignment horizontal="left" indent="2"/>
    </xf>
    <xf numFmtId="0" fontId="13" fillId="5" borderId="9" xfId="0" applyNumberFormat="1" applyFont="1" applyFill="1" applyBorder="1" applyAlignment="1" applyProtection="1">
      <alignment horizontal="left" indent="2"/>
    </xf>
    <xf numFmtId="37" fontId="1" fillId="5" borderId="2" xfId="0" applyNumberFormat="1" applyFont="1" applyFill="1" applyBorder="1" applyAlignment="1" applyProtection="1">
      <alignment horizontal="right"/>
      <protection hidden="1"/>
    </xf>
    <xf numFmtId="0" fontId="2" fillId="0" borderId="9" xfId="0" applyNumberFormat="1" applyFont="1" applyFill="1" applyBorder="1" applyAlignment="1" applyProtection="1">
      <alignment horizontal="left"/>
    </xf>
    <xf numFmtId="0" fontId="1" fillId="0" borderId="2" xfId="0" applyNumberFormat="1" applyFont="1" applyFill="1" applyBorder="1" applyAlignment="1" applyProtection="1">
      <alignment horizontal="right"/>
      <protection hidden="1"/>
    </xf>
    <xf numFmtId="37" fontId="8" fillId="4" borderId="2" xfId="0" applyNumberFormat="1" applyFont="1" applyFill="1" applyBorder="1" applyAlignment="1" applyProtection="1">
      <protection hidden="1"/>
    </xf>
    <xf numFmtId="0" fontId="1" fillId="5" borderId="7" xfId="0" applyNumberFormat="1" applyFont="1" applyFill="1" applyBorder="1" applyAlignment="1" applyProtection="1">
      <alignment horizontal="left"/>
    </xf>
    <xf numFmtId="0" fontId="2" fillId="5" borderId="8" xfId="0" applyNumberFormat="1" applyFont="1" applyFill="1" applyBorder="1" applyAlignment="1" applyProtection="1">
      <alignment horizontal="left"/>
    </xf>
    <xf numFmtId="0" fontId="1" fillId="5" borderId="8" xfId="0" applyNumberFormat="1" applyFont="1" applyFill="1" applyBorder="1" applyAlignment="1" applyProtection="1">
      <alignment horizontal="left"/>
    </xf>
    <xf numFmtId="0" fontId="1" fillId="5" borderId="9" xfId="0" applyNumberFormat="1" applyFont="1" applyFill="1" applyBorder="1" applyAlignment="1" applyProtection="1">
      <alignment horizontal="left"/>
    </xf>
    <xf numFmtId="0" fontId="1" fillId="5" borderId="2" xfId="0" applyNumberFormat="1" applyFont="1" applyFill="1" applyBorder="1" applyAlignment="1" applyProtection="1">
      <alignment horizontal="right"/>
      <protection hidden="1"/>
    </xf>
    <xf numFmtId="0" fontId="1" fillId="0" borderId="0" xfId="0" applyNumberFormat="1" applyFont="1" applyFill="1" applyAlignment="1" applyProtection="1">
      <protection hidden="1"/>
    </xf>
    <xf numFmtId="0" fontId="1" fillId="4" borderId="7" xfId="0" applyNumberFormat="1" applyFont="1" applyFill="1" applyBorder="1" applyAlignment="1" applyProtection="1">
      <alignment horizontal="left"/>
    </xf>
    <xf numFmtId="0" fontId="1" fillId="4" borderId="9" xfId="0" applyNumberFormat="1" applyFont="1" applyFill="1" applyBorder="1" applyAlignment="1" applyProtection="1">
      <alignment horizontal="left"/>
    </xf>
    <xf numFmtId="0" fontId="1" fillId="4" borderId="2" xfId="0" applyNumberFormat="1" applyFont="1" applyFill="1" applyBorder="1" applyAlignment="1" applyProtection="1">
      <alignment horizontal="right"/>
      <protection hidden="1"/>
    </xf>
    <xf numFmtId="0" fontId="1" fillId="3" borderId="2" xfId="0" applyNumberFormat="1" applyFont="1" applyFill="1" applyBorder="1" applyAlignment="1" applyProtection="1">
      <alignment horizontal="right"/>
      <protection hidden="1"/>
    </xf>
    <xf numFmtId="0" fontId="1" fillId="4" borderId="7" xfId="0" applyNumberFormat="1" applyFont="1" applyFill="1" applyBorder="1" applyAlignment="1" applyProtection="1">
      <alignment horizontal="left" indent="1"/>
    </xf>
    <xf numFmtId="0" fontId="2" fillId="5" borderId="7" xfId="0" applyNumberFormat="1" applyFont="1" applyFill="1" applyBorder="1" applyAlignment="1" applyProtection="1"/>
    <xf numFmtId="0" fontId="1" fillId="5" borderId="8" xfId="0" applyNumberFormat="1" applyFont="1" applyFill="1" applyBorder="1" applyAlignment="1" applyProtection="1"/>
    <xf numFmtId="0" fontId="1" fillId="5" borderId="9" xfId="0" applyNumberFormat="1" applyFont="1" applyFill="1" applyBorder="1" applyAlignment="1" applyProtection="1"/>
    <xf numFmtId="0" fontId="1" fillId="4" borderId="7" xfId="0" applyNumberFormat="1" applyFont="1" applyFill="1" applyBorder="1" applyAlignment="1" applyProtection="1"/>
    <xf numFmtId="0" fontId="1" fillId="4" borderId="8" xfId="0" applyNumberFormat="1" applyFont="1" applyFill="1" applyBorder="1" applyAlignment="1" applyProtection="1"/>
    <xf numFmtId="0" fontId="1" fillId="4" borderId="9" xfId="0" applyNumberFormat="1" applyFont="1" applyFill="1" applyBorder="1" applyAlignment="1" applyProtection="1"/>
    <xf numFmtId="0" fontId="1" fillId="4" borderId="2" xfId="0" applyNumberFormat="1" applyFont="1" applyFill="1" applyBorder="1" applyAlignment="1" applyProtection="1">
      <protection hidden="1"/>
    </xf>
    <xf numFmtId="0" fontId="2" fillId="5" borderId="7" xfId="0" applyNumberFormat="1" applyFont="1" applyFill="1" applyBorder="1" applyAlignment="1" applyProtection="1">
      <alignment horizontal="left"/>
    </xf>
    <xf numFmtId="0" fontId="1" fillId="5" borderId="8" xfId="0" applyNumberFormat="1" applyFont="1" applyFill="1" applyBorder="1" applyAlignment="1" applyProtection="1">
      <alignment horizontal="left" indent="2"/>
    </xf>
    <xf numFmtId="0" fontId="2" fillId="8" borderId="9" xfId="0" applyNumberFormat="1" applyFont="1" applyFill="1" applyBorder="1" applyAlignment="1" applyProtection="1">
      <alignment horizontal="left"/>
    </xf>
    <xf numFmtId="0" fontId="1" fillId="8" borderId="2" xfId="0" applyNumberFormat="1" applyFont="1" applyFill="1" applyBorder="1" applyAlignment="1" applyProtection="1">
      <alignment horizontal="right"/>
      <protection hidden="1"/>
    </xf>
    <xf numFmtId="37" fontId="8" fillId="5" borderId="2" xfId="0" applyNumberFormat="1" applyFont="1" applyFill="1" applyBorder="1" applyAlignment="1" applyProtection="1">
      <alignment horizontal="right"/>
      <protection locked="0"/>
    </xf>
    <xf numFmtId="0" fontId="1" fillId="0" borderId="0" xfId="0" applyNumberFormat="1" applyFont="1" applyFill="1" applyAlignment="1" applyProtection="1">
      <alignment horizontal="right"/>
    </xf>
    <xf numFmtId="37" fontId="1" fillId="0" borderId="2" xfId="0" applyNumberFormat="1" applyFont="1" applyFill="1" applyBorder="1" applyAlignment="1" applyProtection="1"/>
    <xf numFmtId="0" fontId="1" fillId="4" borderId="7" xfId="0" applyNumberFormat="1" applyFont="1" applyFill="1" applyBorder="1" applyAlignment="1" applyProtection="1">
      <alignment horizontal="left" wrapText="1" indent="2"/>
    </xf>
    <xf numFmtId="0" fontId="1" fillId="4" borderId="8" xfId="0" applyNumberFormat="1" applyFont="1" applyFill="1" applyBorder="1" applyAlignment="1" applyProtection="1">
      <alignment horizontal="left" wrapText="1" indent="2"/>
    </xf>
    <xf numFmtId="0" fontId="1" fillId="4" borderId="8" xfId="0" applyNumberFormat="1" applyFont="1" applyFill="1" applyBorder="1" applyAlignment="1" applyProtection="1">
      <alignment horizontal="left" wrapText="1"/>
    </xf>
    <xf numFmtId="0" fontId="1" fillId="4" borderId="9" xfId="0" applyNumberFormat="1" applyFont="1" applyFill="1" applyBorder="1" applyAlignment="1" applyProtection="1">
      <alignment horizontal="left" wrapText="1" indent="2"/>
    </xf>
    <xf numFmtId="0" fontId="6" fillId="2" borderId="1" xfId="0" applyNumberFormat="1" applyFont="1" applyFill="1" applyBorder="1" applyAlignment="1" applyProtection="1">
      <alignment horizontal="left"/>
    </xf>
    <xf numFmtId="0" fontId="6" fillId="2" borderId="12" xfId="0" applyNumberFormat="1" applyFont="1" applyFill="1" applyBorder="1" applyAlignment="1" applyProtection="1">
      <alignment horizontal="left"/>
    </xf>
    <xf numFmtId="0" fontId="3" fillId="2" borderId="11" xfId="0" applyNumberFormat="1" applyFont="1" applyFill="1" applyBorder="1" applyAlignment="1" applyProtection="1"/>
    <xf numFmtId="0" fontId="3" fillId="2" borderId="13" xfId="0" applyNumberFormat="1" applyFont="1" applyFill="1" applyBorder="1" applyAlignment="1" applyProtection="1">
      <alignment horizontal="right"/>
    </xf>
    <xf numFmtId="0" fontId="3" fillId="2" borderId="0" xfId="0" applyNumberFormat="1" applyFont="1" applyFill="1" applyAlignment="1" applyProtection="1"/>
    <xf numFmtId="0" fontId="3" fillId="2" borderId="14" xfId="0" applyNumberFormat="1" applyFont="1" applyFill="1" applyBorder="1" applyAlignment="1" applyProtection="1"/>
    <xf numFmtId="0" fontId="20" fillId="2" borderId="0" xfId="0" applyNumberFormat="1" applyFont="1" applyFill="1" applyAlignment="1" applyProtection="1"/>
    <xf numFmtId="0" fontId="3" fillId="2" borderId="3" xfId="0" applyNumberFormat="1" applyFont="1" applyFill="1" applyBorder="1" applyAlignment="1" applyProtection="1"/>
    <xf numFmtId="37" fontId="1" fillId="4" borderId="2" xfId="0" applyNumberFormat="1" applyFont="1" applyFill="1" applyBorder="1" applyAlignment="1" applyProtection="1"/>
    <xf numFmtId="0" fontId="1" fillId="4" borderId="8" xfId="0" applyNumberFormat="1" applyFont="1" applyFill="1" applyBorder="1" applyAlignment="1" applyProtection="1">
      <alignment horizontal="left" wrapText="1" indent="1"/>
    </xf>
    <xf numFmtId="0" fontId="1" fillId="4" borderId="9" xfId="0" applyNumberFormat="1" applyFont="1" applyFill="1" applyBorder="1" applyAlignment="1" applyProtection="1">
      <alignment horizontal="left" wrapText="1" indent="1"/>
    </xf>
    <xf numFmtId="37" fontId="8" fillId="0" borderId="2" xfId="0" applyNumberFormat="1" applyFont="1" applyFill="1" applyBorder="1" applyAlignment="1" applyProtection="1"/>
    <xf numFmtId="0" fontId="1" fillId="5" borderId="8" xfId="0" applyNumberFormat="1" applyFont="1" applyFill="1" applyBorder="1" applyAlignment="1" applyProtection="1">
      <alignment horizontal="left" wrapText="1" indent="1"/>
    </xf>
    <xf numFmtId="0" fontId="1" fillId="5" borderId="9" xfId="0" applyNumberFormat="1" applyFont="1" applyFill="1" applyBorder="1" applyAlignment="1" applyProtection="1">
      <alignment horizontal="left" wrapText="1" indent="1"/>
    </xf>
    <xf numFmtId="37" fontId="1" fillId="5" borderId="2" xfId="0" applyNumberFormat="1" applyFont="1" applyFill="1" applyBorder="1" applyAlignment="1" applyProtection="1"/>
    <xf numFmtId="0" fontId="1" fillId="4" borderId="8" xfId="0" applyNumberFormat="1" applyFont="1" applyFill="1" applyBorder="1" applyAlignment="1" applyProtection="1">
      <alignment horizontal="left" indent="1"/>
    </xf>
    <xf numFmtId="0" fontId="1" fillId="4" borderId="9" xfId="0" applyNumberFormat="1" applyFont="1" applyFill="1" applyBorder="1" applyAlignment="1" applyProtection="1">
      <alignment horizontal="left" indent="1"/>
    </xf>
    <xf numFmtId="37" fontId="8" fillId="4" borderId="2" xfId="0" applyNumberFormat="1" applyFont="1" applyFill="1" applyBorder="1" applyAlignment="1" applyProtection="1">
      <protection locked="0"/>
    </xf>
    <xf numFmtId="0" fontId="1" fillId="5" borderId="7" xfId="0" applyNumberFormat="1" applyFont="1" applyFill="1" applyBorder="1" applyAlignment="1" applyProtection="1">
      <alignment horizontal="left" indent="1"/>
    </xf>
    <xf numFmtId="0" fontId="1" fillId="5" borderId="8" xfId="0" applyNumberFormat="1" applyFont="1" applyFill="1" applyBorder="1" applyAlignment="1" applyProtection="1">
      <alignment horizontal="left" indent="1"/>
    </xf>
    <xf numFmtId="0" fontId="1" fillId="5" borderId="9" xfId="0" applyNumberFormat="1" applyFont="1" applyFill="1" applyBorder="1" applyAlignment="1" applyProtection="1">
      <alignment horizontal="left" indent="1"/>
    </xf>
    <xf numFmtId="37" fontId="8" fillId="4" borderId="2" xfId="0" applyNumberFormat="1" applyFont="1" applyFill="1" applyBorder="1" applyAlignment="1" applyProtection="1"/>
    <xf numFmtId="0" fontId="2" fillId="3" borderId="2" xfId="0" applyNumberFormat="1" applyFont="1" applyFill="1" applyBorder="1" applyAlignment="1" applyProtection="1">
      <alignment horizontal="left"/>
    </xf>
    <xf numFmtId="0" fontId="11" fillId="5" borderId="8" xfId="0" applyNumberFormat="1" applyFont="1" applyFill="1" applyBorder="1" applyAlignment="1" applyProtection="1">
      <alignment horizontal="left" wrapText="1"/>
    </xf>
    <xf numFmtId="0" fontId="9" fillId="6" borderId="11" xfId="0" applyNumberFormat="1" applyFont="1" applyFill="1" applyBorder="1" applyAlignment="1" applyProtection="1">
      <alignment vertical="top" wrapText="1"/>
    </xf>
    <xf numFmtId="0" fontId="6" fillId="2" borderId="13" xfId="0" applyNumberFormat="1" applyFont="1" applyFill="1" applyBorder="1" applyAlignment="1" applyProtection="1">
      <alignment horizontal="left"/>
    </xf>
    <xf numFmtId="0" fontId="6" fillId="2" borderId="0" xfId="0" applyNumberFormat="1" applyFont="1" applyFill="1" applyAlignment="1" applyProtection="1">
      <alignment horizontal="left"/>
    </xf>
    <xf numFmtId="0" fontId="9" fillId="0" borderId="0" xfId="0" applyNumberFormat="1" applyFont="1" applyFill="1" applyAlignment="1" applyProtection="1">
      <alignment horizontal="left" vertical="top" wrapText="1"/>
    </xf>
    <xf numFmtId="0" fontId="6" fillId="2" borderId="15" xfId="0" applyNumberFormat="1" applyFont="1" applyFill="1" applyBorder="1" applyAlignment="1" applyProtection="1">
      <alignment horizontal="left"/>
    </xf>
    <xf numFmtId="0" fontId="6" fillId="2" borderId="3" xfId="0" applyNumberFormat="1" applyFont="1" applyFill="1" applyBorder="1" applyAlignment="1" applyProtection="1">
      <alignment horizontal="left"/>
    </xf>
    <xf numFmtId="0" fontId="1" fillId="12" borderId="2" xfId="0" applyNumberFormat="1" applyFont="1" applyFill="1" applyBorder="1" applyAlignment="1" applyProtection="1"/>
    <xf numFmtId="0" fontId="5" fillId="3" borderId="15" xfId="0" applyNumberFormat="1" applyFont="1" applyFill="1" applyBorder="1" applyAlignment="1" applyProtection="1">
      <alignment horizontal="left"/>
    </xf>
    <xf numFmtId="0" fontId="1" fillId="3" borderId="2" xfId="0" applyNumberFormat="1" applyFont="1" applyFill="1" applyBorder="1" applyAlignment="1" applyProtection="1">
      <alignment horizontal="right"/>
    </xf>
    <xf numFmtId="0" fontId="1" fillId="4" borderId="2" xfId="0" applyNumberFormat="1" applyFont="1" applyFill="1" applyBorder="1" applyAlignment="1" applyProtection="1"/>
    <xf numFmtId="0" fontId="27" fillId="0" borderId="7" xfId="0" applyNumberFormat="1" applyFont="1" applyFill="1" applyBorder="1" applyAlignment="1" applyProtection="1"/>
    <xf numFmtId="0" fontId="0" fillId="0" borderId="8" xfId="0" applyNumberFormat="1" applyFill="1" applyBorder="1" applyAlignment="1" applyProtection="1"/>
    <xf numFmtId="0" fontId="12" fillId="0" borderId="0" xfId="0" applyNumberFormat="1" applyFont="1" applyFill="1" applyAlignment="1" applyProtection="1">
      <alignment vertical="top" wrapText="1"/>
    </xf>
    <xf numFmtId="0" fontId="9" fillId="6" borderId="14" xfId="0" applyNumberFormat="1" applyFont="1" applyFill="1" applyBorder="1" applyAlignment="1" applyProtection="1">
      <alignment vertical="top" wrapText="1"/>
    </xf>
    <xf numFmtId="0" fontId="1" fillId="12" borderId="13" xfId="0" applyNumberFormat="1" applyFont="1" applyFill="1" applyBorder="1" applyAlignment="1" applyProtection="1"/>
    <xf numFmtId="0" fontId="5" fillId="3" borderId="3" xfId="0" applyNumberFormat="1" applyFont="1" applyFill="1" applyBorder="1" applyAlignment="1" applyProtection="1">
      <alignment horizontal="left"/>
    </xf>
    <xf numFmtId="0" fontId="1" fillId="3" borderId="6" xfId="0" applyNumberFormat="1" applyFont="1" applyFill="1" applyBorder="1" applyAlignment="1" applyProtection="1"/>
    <xf numFmtId="0" fontId="4" fillId="0" borderId="0" xfId="0" applyNumberFormat="1" applyFont="1" applyFill="1" applyAlignment="1" applyProtection="1"/>
    <xf numFmtId="0" fontId="9" fillId="0" borderId="0" xfId="0" applyNumberFormat="1" applyFont="1" applyFill="1" applyAlignment="1" applyProtection="1">
      <alignment horizontal="center" vertical="top" wrapText="1"/>
    </xf>
    <xf numFmtId="0" fontId="6" fillId="2" borderId="10" xfId="0" applyNumberFormat="1" applyFont="1" applyFill="1" applyBorder="1" applyAlignment="1" applyProtection="1">
      <alignment horizontal="left"/>
    </xf>
    <xf numFmtId="0" fontId="5" fillId="3" borderId="10" xfId="0" applyNumberFormat="1" applyFont="1" applyFill="1" applyBorder="1" applyAlignment="1" applyProtection="1">
      <alignment horizontal="left"/>
    </xf>
    <xf numFmtId="37" fontId="1" fillId="3" borderId="6" xfId="0" applyNumberFormat="1" applyFont="1" applyFill="1" applyBorder="1" applyAlignment="1" applyProtection="1"/>
    <xf numFmtId="0" fontId="9" fillId="6" borderId="1" xfId="0" applyNumberFormat="1" applyFont="1" applyFill="1" applyBorder="1" applyAlignment="1" applyProtection="1">
      <alignment horizontal="right"/>
    </xf>
    <xf numFmtId="0" fontId="9" fillId="6" borderId="2" xfId="0" applyNumberFormat="1" applyFont="1" applyFill="1" applyBorder="1" applyAlignment="1" applyProtection="1">
      <alignment horizontal="center"/>
    </xf>
    <xf numFmtId="0" fontId="22" fillId="6" borderId="2" xfId="0" applyNumberFormat="1" applyFont="1" applyFill="1" applyBorder="1" applyAlignment="1" applyProtection="1">
      <alignment horizontal="center"/>
    </xf>
    <xf numFmtId="0" fontId="26" fillId="6" borderId="4" xfId="0" applyNumberFormat="1" applyFont="1" applyFill="1" applyBorder="1" applyAlignment="1" applyProtection="1">
      <alignment horizontal="right" wrapText="1"/>
    </xf>
    <xf numFmtId="0" fontId="19" fillId="6" borderId="15" xfId="0" applyNumberFormat="1" applyFont="1" applyFill="1" applyBorder="1" applyAlignment="1" applyProtection="1">
      <alignment horizontal="right"/>
    </xf>
    <xf numFmtId="0" fontId="19" fillId="6" borderId="3" xfId="0" applyNumberFormat="1" applyFont="1" applyFill="1" applyBorder="1" applyAlignment="1" applyProtection="1"/>
    <xf numFmtId="0" fontId="19" fillId="6" borderId="10" xfId="0" applyNumberFormat="1" applyFont="1" applyFill="1" applyBorder="1" applyAlignment="1" applyProtection="1"/>
    <xf numFmtId="0" fontId="21" fillId="7" borderId="2" xfId="0" applyNumberFormat="1" applyFont="1" applyFill="1" applyBorder="1" applyAlignment="1" applyProtection="1"/>
    <xf numFmtId="0" fontId="11" fillId="9" borderId="2" xfId="0" applyNumberFormat="1" applyFont="1" applyFill="1" applyBorder="1" applyAlignment="1" applyProtection="1">
      <alignment horizontal="right"/>
    </xf>
    <xf numFmtId="0" fontId="11" fillId="8" borderId="2" xfId="0" applyNumberFormat="1" applyFont="1" applyFill="1" applyBorder="1" applyAlignment="1" applyProtection="1">
      <alignment horizontal="right"/>
    </xf>
    <xf numFmtId="0" fontId="11" fillId="5" borderId="7" xfId="0" applyNumberFormat="1" applyFont="1" applyFill="1" applyBorder="1" applyAlignment="1" applyProtection="1">
      <alignment horizontal="left" indent="1"/>
    </xf>
    <xf numFmtId="0" fontId="11" fillId="5" borderId="8" xfId="0" applyNumberFormat="1" applyFont="1" applyFill="1" applyBorder="1" applyAlignment="1" applyProtection="1">
      <alignment horizontal="left" indent="1"/>
    </xf>
    <xf numFmtId="0" fontId="11" fillId="5" borderId="9" xfId="0" applyNumberFormat="1" applyFont="1" applyFill="1" applyBorder="1" applyAlignment="1" applyProtection="1">
      <alignment horizontal="left" indent="1"/>
    </xf>
    <xf numFmtId="0" fontId="11" fillId="4" borderId="7" xfId="0" applyNumberFormat="1" applyFont="1" applyFill="1" applyBorder="1" applyAlignment="1" applyProtection="1">
      <alignment horizontal="left" indent="2"/>
    </xf>
    <xf numFmtId="0" fontId="11" fillId="4" borderId="8" xfId="0" applyNumberFormat="1" applyFont="1" applyFill="1" applyBorder="1" applyAlignment="1" applyProtection="1">
      <alignment horizontal="left" indent="2"/>
    </xf>
    <xf numFmtId="0" fontId="11" fillId="4" borderId="9" xfId="0" applyNumberFormat="1" applyFont="1" applyFill="1" applyBorder="1" applyAlignment="1" applyProtection="1">
      <alignment horizontal="left" indent="2"/>
    </xf>
    <xf numFmtId="0" fontId="21" fillId="0" borderId="2" xfId="0" applyNumberFormat="1" applyFont="1" applyFill="1" applyBorder="1" applyAlignment="1" applyProtection="1"/>
    <xf numFmtId="0" fontId="11" fillId="9" borderId="0" xfId="0" applyNumberFormat="1" applyFont="1" applyFill="1" applyAlignment="1" applyProtection="1">
      <alignment horizontal="left"/>
    </xf>
    <xf numFmtId="0" fontId="11" fillId="9" borderId="0" xfId="0" applyNumberFormat="1" applyFont="1" applyFill="1" applyAlignment="1" applyProtection="1">
      <alignment horizontal="left" indent="1"/>
    </xf>
    <xf numFmtId="0" fontId="11" fillId="9" borderId="7" xfId="0" applyNumberFormat="1" applyFont="1" applyFill="1" applyBorder="1" applyAlignment="1" applyProtection="1">
      <alignment horizontal="left" indent="2"/>
    </xf>
    <xf numFmtId="0" fontId="11" fillId="9" borderId="8" xfId="0" applyNumberFormat="1" applyFont="1" applyFill="1" applyBorder="1" applyAlignment="1" applyProtection="1">
      <alignment horizontal="left" indent="2"/>
    </xf>
    <xf numFmtId="0" fontId="11" fillId="9" borderId="9" xfId="0" applyNumberFormat="1" applyFont="1" applyFill="1" applyBorder="1" applyAlignment="1" applyProtection="1">
      <alignment horizontal="left" indent="2"/>
    </xf>
    <xf numFmtId="0" fontId="11" fillId="5" borderId="7" xfId="0" applyNumberFormat="1" applyFont="1" applyFill="1" applyBorder="1" applyAlignment="1" applyProtection="1">
      <alignment horizontal="left"/>
    </xf>
    <xf numFmtId="0" fontId="10" fillId="5" borderId="8" xfId="0" applyNumberFormat="1" applyFont="1" applyFill="1" applyBorder="1" applyAlignment="1" applyProtection="1">
      <alignment horizontal="left"/>
    </xf>
    <xf numFmtId="0" fontId="21" fillId="0" borderId="0" xfId="0" applyNumberFormat="1" applyFont="1" applyFill="1" applyAlignment="1" applyProtection="1"/>
    <xf numFmtId="0" fontId="6" fillId="2" borderId="13" xfId="0" applyNumberFormat="1" applyFont="1" applyFill="1" applyBorder="1" applyAlignment="1" applyProtection="1">
      <alignment horizontal="right"/>
    </xf>
    <xf numFmtId="0" fontId="6" fillId="2" borderId="0" xfId="0" applyNumberFormat="1" applyFont="1" applyFill="1" applyAlignment="1" applyProtection="1"/>
    <xf numFmtId="0" fontId="6" fillId="2" borderId="6" xfId="0" applyNumberFormat="1" applyFont="1" applyFill="1" applyBorder="1" applyAlignment="1" applyProtection="1">
      <alignment horizontal="center"/>
    </xf>
    <xf numFmtId="0" fontId="6" fillId="2" borderId="14" xfId="0" applyNumberFormat="1" applyFont="1" applyFill="1" applyBorder="1" applyAlignment="1" applyProtection="1"/>
    <xf numFmtId="0" fontId="3" fillId="2" borderId="4" xfId="0" applyNumberFormat="1" applyFont="1" applyFill="1" applyBorder="1" applyAlignment="1" applyProtection="1">
      <alignment horizontal="right" wrapText="1"/>
    </xf>
    <xf numFmtId="0" fontId="26" fillId="2" borderId="4" xfId="0" applyNumberFormat="1" applyFont="1" applyFill="1" applyBorder="1" applyAlignment="1" applyProtection="1">
      <alignment horizontal="right" wrapText="1"/>
    </xf>
    <xf numFmtId="0" fontId="6" fillId="2" borderId="3" xfId="0" applyNumberFormat="1" applyFont="1" applyFill="1" applyBorder="1" applyAlignment="1" applyProtection="1"/>
    <xf numFmtId="0" fontId="6" fillId="2" borderId="10" xfId="0" applyNumberFormat="1" applyFont="1" applyFill="1" applyBorder="1" applyAlignment="1" applyProtection="1"/>
    <xf numFmtId="0" fontId="9" fillId="2" borderId="2" xfId="0" applyNumberFormat="1" applyFont="1" applyFill="1" applyBorder="1" applyAlignment="1" applyProtection="1">
      <alignment horizontal="right" wrapText="1"/>
    </xf>
    <xf numFmtId="0" fontId="11" fillId="3" borderId="2" xfId="0" applyNumberFormat="1" applyFont="1" applyFill="1" applyBorder="1" applyAlignment="1" applyProtection="1"/>
    <xf numFmtId="37" fontId="11" fillId="3" borderId="2" xfId="0" applyNumberFormat="1" applyFont="1" applyFill="1" applyBorder="1" applyAlignment="1" applyProtection="1"/>
    <xf numFmtId="37" fontId="8" fillId="3" borderId="2" xfId="0" applyNumberFormat="1" applyFont="1" applyFill="1" applyBorder="1" applyAlignment="1" applyProtection="1"/>
    <xf numFmtId="37" fontId="11" fillId="5" borderId="2" xfId="0" applyNumberFormat="1" applyFont="1" applyFill="1" applyBorder="1" applyAlignment="1" applyProtection="1"/>
    <xf numFmtId="0" fontId="15" fillId="6" borderId="12" xfId="0" applyNumberFormat="1" applyFont="1" applyFill="1" applyBorder="1" applyAlignment="1" applyProtection="1">
      <alignment vertical="top" wrapText="1"/>
    </xf>
    <xf numFmtId="0" fontId="10" fillId="0" borderId="2" xfId="0" applyNumberFormat="1" applyFont="1" applyFill="1" applyBorder="1" applyAlignment="1" applyProtection="1">
      <alignment horizontal="center" vertical="center"/>
    </xf>
    <xf numFmtId="0" fontId="10" fillId="0" borderId="0" xfId="0" applyNumberFormat="1" applyFont="1" applyFill="1" applyAlignment="1" applyProtection="1">
      <alignment horizontal="center" wrapText="1"/>
    </xf>
    <xf numFmtId="0" fontId="11" fillId="0" borderId="2" xfId="0" applyNumberFormat="1" applyFont="1" applyFill="1" applyBorder="1" applyAlignment="1" applyProtection="1">
      <alignment horizontal="left" wrapText="1"/>
      <protection locked="0"/>
    </xf>
    <xf numFmtId="0" fontId="11" fillId="0" borderId="7" xfId="0" applyNumberFormat="1" applyFont="1" applyFill="1" applyBorder="1" applyAlignment="1" applyProtection="1">
      <alignment horizontal="left" wrapText="1"/>
      <protection locked="0"/>
    </xf>
    <xf numFmtId="0" fontId="11" fillId="0" borderId="12" xfId="0" applyNumberFormat="1" applyFont="1" applyFill="1" applyBorder="1" applyAlignment="1" applyProtection="1">
      <alignment horizontal="left" wrapText="1"/>
    </xf>
    <xf numFmtId="0" fontId="11" fillId="0" borderId="3" xfId="0" applyNumberFormat="1" applyFont="1" applyFill="1" applyBorder="1" applyAlignment="1" applyProtection="1">
      <alignment horizontal="left" wrapText="1"/>
    </xf>
    <xf numFmtId="37" fontId="11" fillId="8" borderId="7" xfId="0" applyNumberFormat="1" applyFont="1" applyFill="1" applyBorder="1" applyAlignment="1" applyProtection="1"/>
    <xf numFmtId="0" fontId="7" fillId="10" borderId="7" xfId="0" applyNumberFormat="1" applyFont="1" applyFill="1" applyBorder="1" applyAlignment="1" applyProtection="1"/>
    <xf numFmtId="0" fontId="9" fillId="6" borderId="12" xfId="0" applyNumberFormat="1" applyFont="1" applyFill="1" applyBorder="1" applyAlignment="1" applyProtection="1">
      <alignment vertical="center" wrapText="1"/>
    </xf>
    <xf numFmtId="0" fontId="39" fillId="6" borderId="12" xfId="0" applyNumberFormat="1" applyFont="1" applyFill="1" applyBorder="1" applyAlignment="1" applyProtection="1"/>
    <xf numFmtId="0" fontId="39" fillId="6" borderId="11" xfId="0" applyNumberFormat="1" applyFont="1" applyFill="1" applyBorder="1" applyAlignment="1" applyProtection="1"/>
    <xf numFmtId="0" fontId="9" fillId="6" borderId="3" xfId="0" applyNumberFormat="1" applyFont="1" applyFill="1" applyBorder="1" applyAlignment="1" applyProtection="1">
      <alignment vertical="center" wrapText="1"/>
    </xf>
    <xf numFmtId="0" fontId="39" fillId="6" borderId="0" xfId="0" applyNumberFormat="1" applyFont="1" applyFill="1" applyAlignment="1" applyProtection="1"/>
    <xf numFmtId="0" fontId="39" fillId="6" borderId="3" xfId="0" applyNumberFormat="1" applyFont="1" applyFill="1" applyBorder="1" applyAlignment="1" applyProtection="1"/>
    <xf numFmtId="0" fontId="39" fillId="6" borderId="10" xfId="0" applyNumberFormat="1" applyFont="1" applyFill="1" applyBorder="1" applyAlignment="1" applyProtection="1"/>
    <xf numFmtId="0" fontId="26" fillId="6" borderId="13" xfId="0" applyNumberFormat="1" applyFont="1" applyFill="1" applyBorder="1" applyAlignment="1" applyProtection="1"/>
    <xf numFmtId="0" fontId="26" fillId="6" borderId="0" xfId="0" applyNumberFormat="1" applyFont="1" applyFill="1" applyAlignment="1" applyProtection="1">
      <alignment vertical="center" wrapText="1"/>
    </xf>
    <xf numFmtId="0" fontId="0" fillId="6" borderId="0" xfId="0" applyNumberFormat="1" applyFill="1" applyAlignment="1" applyProtection="1"/>
    <xf numFmtId="0" fontId="26" fillId="6" borderId="0" xfId="0" applyNumberFormat="1" applyFont="1" applyFill="1" applyAlignment="1" applyProtection="1"/>
    <xf numFmtId="168" fontId="1" fillId="15" borderId="2" xfId="0" applyNumberFormat="1" applyFont="1" applyFill="1" applyBorder="1" applyAlignment="1" applyProtection="1">
      <protection locked="0"/>
    </xf>
    <xf numFmtId="0" fontId="1" fillId="3" borderId="8" xfId="0" applyNumberFormat="1" applyFont="1" applyFill="1" applyBorder="1" applyAlignment="1" applyProtection="1">
      <alignment horizontal="left"/>
    </xf>
    <xf numFmtId="0" fontId="0" fillId="7" borderId="0" xfId="0" applyNumberFormat="1" applyFill="1" applyAlignment="1" applyProtection="1"/>
    <xf numFmtId="0" fontId="11" fillId="7" borderId="12" xfId="0" applyNumberFormat="1" applyFont="1" applyFill="1" applyBorder="1" applyAlignment="1" applyProtection="1"/>
    <xf numFmtId="0" fontId="11" fillId="7" borderId="8" xfId="0" applyNumberFormat="1" applyFont="1" applyFill="1" applyBorder="1" applyAlignment="1" applyProtection="1">
      <alignment horizontal="left" indent="1"/>
    </xf>
    <xf numFmtId="37" fontId="8" fillId="7" borderId="2" xfId="0" applyNumberFormat="1" applyFont="1" applyFill="1" applyBorder="1" applyAlignment="1" applyProtection="1">
      <alignment horizontal="right"/>
    </xf>
    <xf numFmtId="37" fontId="11" fillId="7" borderId="2" xfId="0" applyNumberFormat="1" applyFont="1" applyFill="1" applyBorder="1" applyAlignment="1" applyProtection="1">
      <alignment horizontal="right"/>
      <protection hidden="1"/>
    </xf>
    <xf numFmtId="0" fontId="11" fillId="10" borderId="14" xfId="0" applyNumberFormat="1" applyFont="1" applyFill="1" applyBorder="1" applyAlignment="1" applyProtection="1"/>
    <xf numFmtId="0" fontId="1" fillId="10" borderId="8" xfId="0" applyNumberFormat="1" applyFont="1" applyFill="1" applyBorder="1" applyAlignment="1" applyProtection="1">
      <alignment horizontal="left" indent="1"/>
    </xf>
    <xf numFmtId="0" fontId="2" fillId="10" borderId="3" xfId="0" applyNumberFormat="1" applyFont="1" applyFill="1" applyBorder="1" applyAlignment="1" applyProtection="1"/>
    <xf numFmtId="0" fontId="2" fillId="10" borderId="8" xfId="0" applyNumberFormat="1" applyFont="1" applyFill="1" applyBorder="1" applyAlignment="1" applyProtection="1"/>
    <xf numFmtId="37" fontId="1" fillId="10" borderId="2" xfId="0" applyNumberFormat="1" applyFont="1" applyFill="1" applyBorder="1" applyAlignment="1" applyProtection="1">
      <alignment horizontal="left" wrapText="1"/>
      <protection locked="0"/>
    </xf>
    <xf numFmtId="0" fontId="0" fillId="8" borderId="8" xfId="0" applyNumberFormat="1" applyFill="1" applyBorder="1" applyAlignment="1" applyProtection="1"/>
    <xf numFmtId="37" fontId="1" fillId="8" borderId="2" xfId="0" applyNumberFormat="1" applyFont="1" applyFill="1" applyBorder="1" applyAlignment="1" applyProtection="1">
      <alignment horizontal="right"/>
    </xf>
    <xf numFmtId="0" fontId="41" fillId="0" borderId="0" xfId="0" applyNumberFormat="1" applyFont="1" applyFill="1" applyAlignment="1" applyProtection="1"/>
    <xf numFmtId="0" fontId="2" fillId="8" borderId="7" xfId="0" applyNumberFormat="1" applyFont="1" applyFill="1" applyBorder="1" applyAlignment="1" applyProtection="1"/>
    <xf numFmtId="0" fontId="11" fillId="8" borderId="7" xfId="0" applyNumberFormat="1" applyFont="1" applyFill="1" applyBorder="1" applyAlignment="1" applyProtection="1">
      <alignment horizontal="right"/>
    </xf>
    <xf numFmtId="0" fontId="1" fillId="10" borderId="7" xfId="0" applyNumberFormat="1" applyFont="1" applyFill="1" applyBorder="1" applyAlignment="1" applyProtection="1"/>
    <xf numFmtId="0" fontId="11" fillId="10" borderId="8" xfId="0" applyNumberFormat="1" applyFont="1" applyFill="1" applyBorder="1" applyAlignment="1" applyProtection="1">
      <alignment horizontal="right"/>
    </xf>
    <xf numFmtId="0" fontId="0" fillId="10" borderId="8" xfId="0" applyNumberFormat="1" applyFill="1" applyBorder="1" applyAlignment="1" applyProtection="1"/>
    <xf numFmtId="37" fontId="1" fillId="10" borderId="8" xfId="0" applyNumberFormat="1" applyFont="1" applyFill="1" applyBorder="1" applyAlignment="1" applyProtection="1">
      <alignment horizontal="right"/>
    </xf>
    <xf numFmtId="37" fontId="1" fillId="10" borderId="9" xfId="0" applyNumberFormat="1" applyFont="1" applyFill="1" applyBorder="1" applyAlignment="1" applyProtection="1">
      <alignment horizontal="right"/>
    </xf>
    <xf numFmtId="0" fontId="38" fillId="0" borderId="0" xfId="0" applyNumberFormat="1" applyFont="1" applyFill="1" applyAlignment="1" applyProtection="1"/>
    <xf numFmtId="0" fontId="0" fillId="15" borderId="2" xfId="0" applyNumberFormat="1" applyFill="1" applyBorder="1" applyAlignment="1" applyProtection="1"/>
    <xf numFmtId="0" fontId="11" fillId="12" borderId="7" xfId="0" applyNumberFormat="1" applyFont="1" applyFill="1" applyBorder="1" applyAlignment="1" applyProtection="1">
      <alignment horizontal="right"/>
    </xf>
    <xf numFmtId="0" fontId="11" fillId="12" borderId="2" xfId="0" applyNumberFormat="1" applyFont="1" applyFill="1" applyBorder="1" applyAlignment="1" applyProtection="1">
      <alignment horizontal="right" vertical="top"/>
    </xf>
    <xf numFmtId="0" fontId="1" fillId="4" borderId="8" xfId="0" applyNumberFormat="1" applyFont="1" applyFill="1" applyBorder="1" applyAlignment="1" applyProtection="1">
      <alignment vertical="top" wrapText="1"/>
    </xf>
    <xf numFmtId="0" fontId="11" fillId="0" borderId="12" xfId="0" applyNumberFormat="1" applyFont="1" applyFill="1" applyBorder="1" applyAlignment="1" applyProtection="1">
      <alignment horizontal="right"/>
    </xf>
    <xf numFmtId="0" fontId="1" fillId="0" borderId="12" xfId="0" applyNumberFormat="1" applyFont="1" applyFill="1" applyBorder="1" applyAlignment="1" applyProtection="1">
      <alignment horizontal="left" indent="2"/>
    </xf>
    <xf numFmtId="0" fontId="1" fillId="0" borderId="12" xfId="0" applyNumberFormat="1" applyFont="1" applyFill="1" applyBorder="1" applyAlignment="1" applyProtection="1">
      <alignment horizontal="left"/>
    </xf>
    <xf numFmtId="0" fontId="2" fillId="7" borderId="7" xfId="0" applyNumberFormat="1" applyFont="1" applyFill="1" applyBorder="1" applyAlignment="1" applyProtection="1">
      <alignment vertical="center"/>
    </xf>
    <xf numFmtId="0" fontId="2" fillId="7" borderId="8" xfId="0" applyNumberFormat="1" applyFont="1" applyFill="1" applyBorder="1" applyAlignment="1" applyProtection="1">
      <alignment vertical="center"/>
    </xf>
    <xf numFmtId="0" fontId="11" fillId="7" borderId="8" xfId="0" applyNumberFormat="1" applyFont="1" applyFill="1" applyBorder="1" applyAlignment="1" applyProtection="1">
      <alignment vertical="center"/>
    </xf>
    <xf numFmtId="167" fontId="8" fillId="10" borderId="2" xfId="0" applyNumberFormat="1" applyFont="1" applyFill="1" applyBorder="1" applyAlignment="1" applyProtection="1">
      <alignment horizontal="right"/>
      <protection locked="0"/>
    </xf>
    <xf numFmtId="0" fontId="9" fillId="6" borderId="1" xfId="0" applyNumberFormat="1" applyFont="1" applyFill="1" applyBorder="1" applyAlignment="1" applyProtection="1">
      <alignment vertical="center"/>
    </xf>
    <xf numFmtId="0" fontId="9" fillId="6" borderId="13" xfId="0" applyNumberFormat="1" applyFont="1" applyFill="1" applyBorder="1" applyAlignment="1" applyProtection="1">
      <alignment vertical="top" wrapText="1"/>
    </xf>
    <xf numFmtId="0" fontId="16" fillId="6" borderId="13" xfId="0" applyNumberFormat="1" applyFont="1" applyFill="1" applyBorder="1" applyAlignment="1" applyProtection="1"/>
    <xf numFmtId="0" fontId="16" fillId="6" borderId="15" xfId="0" applyNumberFormat="1" applyFont="1" applyFill="1" applyBorder="1" applyAlignment="1" applyProtection="1"/>
    <xf numFmtId="0" fontId="2" fillId="3" borderId="7" xfId="0" applyNumberFormat="1" applyFont="1" applyFill="1" applyBorder="1" applyAlignment="1" applyProtection="1">
      <alignment horizontal="right"/>
    </xf>
    <xf numFmtId="0" fontId="2" fillId="3" borderId="2" xfId="0" applyNumberFormat="1" applyFont="1" applyFill="1" applyBorder="1" applyAlignment="1" applyProtection="1">
      <alignment horizontal="right"/>
    </xf>
    <xf numFmtId="0" fontId="10" fillId="10" borderId="0" xfId="0" applyNumberFormat="1" applyFont="1" applyFill="1" applyAlignment="1" applyProtection="1"/>
    <xf numFmtId="0" fontId="11" fillId="10" borderId="0" xfId="0" applyNumberFormat="1" applyFont="1" applyFill="1" applyAlignment="1" applyProtection="1">
      <alignment horizontal="right"/>
    </xf>
    <xf numFmtId="2" fontId="8" fillId="10" borderId="2" xfId="0" applyNumberFormat="1" applyFont="1" applyFill="1" applyBorder="1" applyAlignment="1" applyProtection="1">
      <alignment horizontal="right"/>
      <protection locked="0"/>
    </xf>
    <xf numFmtId="0" fontId="0" fillId="10" borderId="3" xfId="0" applyNumberFormat="1" applyFill="1" applyBorder="1" applyAlignment="1" applyProtection="1"/>
    <xf numFmtId="0" fontId="0" fillId="10" borderId="0" xfId="0" applyNumberFormat="1" applyFill="1" applyAlignment="1" applyProtection="1"/>
    <xf numFmtId="0" fontId="0" fillId="0" borderId="3" xfId="0" applyNumberFormat="1" applyFill="1" applyBorder="1" applyAlignment="1" applyProtection="1"/>
    <xf numFmtId="0" fontId="10" fillId="7" borderId="2" xfId="0" applyNumberFormat="1" applyFont="1" applyFill="1" applyBorder="1" applyAlignment="1" applyProtection="1">
      <alignment horizontal="right" wrapText="1"/>
    </xf>
    <xf numFmtId="0" fontId="41" fillId="10" borderId="3" xfId="0" applyNumberFormat="1" applyFont="1" applyFill="1" applyBorder="1" applyAlignment="1" applyProtection="1"/>
    <xf numFmtId="0" fontId="41" fillId="10" borderId="0" xfId="0" applyNumberFormat="1" applyFont="1" applyFill="1" applyAlignment="1" applyProtection="1"/>
    <xf numFmtId="0" fontId="41" fillId="0" borderId="8" xfId="0" applyNumberFormat="1" applyFont="1" applyFill="1" applyBorder="1" applyAlignment="1" applyProtection="1"/>
    <xf numFmtId="0" fontId="41" fillId="0" borderId="14" xfId="0" applyNumberFormat="1" applyFont="1" applyFill="1" applyBorder="1" applyAlignment="1" applyProtection="1"/>
    <xf numFmtId="0" fontId="41" fillId="10" borderId="1" xfId="0" applyNumberFormat="1" applyFont="1" applyFill="1" applyBorder="1" applyAlignment="1" applyProtection="1">
      <alignment horizontal="center"/>
    </xf>
    <xf numFmtId="0" fontId="11" fillId="10" borderId="12" xfId="0" applyNumberFormat="1" applyFont="1" applyFill="1" applyBorder="1" applyAlignment="1" applyProtection="1">
      <alignment horizontal="left" indent="1"/>
    </xf>
    <xf numFmtId="0" fontId="41" fillId="10" borderId="7" xfId="0" applyNumberFormat="1" applyFont="1" applyFill="1" applyBorder="1" applyAlignment="1" applyProtection="1"/>
    <xf numFmtId="0" fontId="41" fillId="10" borderId="8" xfId="0" applyNumberFormat="1" applyFont="1" applyFill="1" applyBorder="1" applyAlignment="1" applyProtection="1"/>
    <xf numFmtId="0" fontId="8" fillId="0" borderId="2" xfId="0" applyNumberFormat="1" applyFont="1" applyFill="1" applyBorder="1" applyAlignment="1" applyProtection="1">
      <protection locked="0"/>
    </xf>
    <xf numFmtId="0" fontId="11" fillId="0" borderId="10" xfId="0" applyNumberFormat="1" applyFont="1" applyFill="1" applyBorder="1" applyAlignment="1" applyProtection="1"/>
    <xf numFmtId="0" fontId="11" fillId="10" borderId="9" xfId="0" applyNumberFormat="1" applyFont="1" applyFill="1" applyBorder="1" applyAlignment="1" applyProtection="1">
      <alignment horizontal="left"/>
    </xf>
    <xf numFmtId="1" fontId="8" fillId="10" borderId="2" xfId="0" applyNumberFormat="1" applyFont="1" applyFill="1" applyBorder="1" applyAlignment="1" applyProtection="1">
      <alignment horizontal="right"/>
    </xf>
    <xf numFmtId="0" fontId="10" fillId="7" borderId="15" xfId="0" applyNumberFormat="1" applyFont="1" applyFill="1" applyBorder="1" applyAlignment="1" applyProtection="1"/>
    <xf numFmtId="37" fontId="37" fillId="10" borderId="2" xfId="0" applyNumberFormat="1" applyFont="1" applyFill="1" applyBorder="1" applyAlignment="1" applyProtection="1">
      <alignment horizontal="right"/>
    </xf>
    <xf numFmtId="0" fontId="29" fillId="6" borderId="13" xfId="0" applyNumberFormat="1" applyFont="1" applyFill="1" applyBorder="1" applyAlignment="1" applyProtection="1"/>
    <xf numFmtId="0" fontId="29" fillId="6" borderId="0" xfId="0" applyNumberFormat="1" applyFont="1" applyFill="1" applyAlignment="1" applyProtection="1"/>
    <xf numFmtId="0" fontId="29" fillId="6" borderId="25" xfId="0" applyNumberFormat="1" applyFont="1" applyFill="1" applyBorder="1" applyAlignment="1" applyProtection="1"/>
    <xf numFmtId="0" fontId="29" fillId="6" borderId="21" xfId="0" applyNumberFormat="1" applyFont="1" applyFill="1" applyBorder="1" applyAlignment="1" applyProtection="1"/>
    <xf numFmtId="0" fontId="29" fillId="6" borderId="24" xfId="0" applyNumberFormat="1" applyFont="1" applyFill="1" applyBorder="1" applyAlignment="1" applyProtection="1">
      <alignment horizontal="right"/>
    </xf>
    <xf numFmtId="0" fontId="10" fillId="7" borderId="16" xfId="0" applyNumberFormat="1" applyFont="1" applyFill="1" applyBorder="1" applyAlignment="1" applyProtection="1"/>
    <xf numFmtId="0" fontId="11" fillId="7" borderId="22" xfId="0" applyNumberFormat="1" applyFont="1" applyFill="1" applyBorder="1" applyAlignment="1" applyProtection="1">
      <alignment horizontal="left"/>
    </xf>
    <xf numFmtId="0" fontId="10" fillId="7" borderId="22" xfId="0" applyNumberFormat="1" applyFont="1" applyFill="1" applyBorder="1" applyAlignment="1" applyProtection="1"/>
    <xf numFmtId="0" fontId="10" fillId="7" borderId="17" xfId="0" applyNumberFormat="1" applyFont="1" applyFill="1" applyBorder="1" applyAlignment="1" applyProtection="1"/>
    <xf numFmtId="0" fontId="10" fillId="7" borderId="23" xfId="0" applyNumberFormat="1" applyFont="1" applyFill="1" applyBorder="1" applyAlignment="1" applyProtection="1"/>
    <xf numFmtId="0" fontId="10" fillId="0" borderId="18" xfId="0" applyNumberFormat="1" applyFont="1" applyFill="1" applyBorder="1" applyAlignment="1" applyProtection="1">
      <alignment vertical="center" wrapText="1"/>
    </xf>
    <xf numFmtId="0" fontId="10" fillId="0" borderId="2"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wrapText="1"/>
    </xf>
    <xf numFmtId="0" fontId="10" fillId="0" borderId="19" xfId="0" applyNumberFormat="1" applyFont="1" applyFill="1" applyBorder="1" applyAlignment="1" applyProtection="1">
      <alignment horizontal="center" vertical="center"/>
    </xf>
    <xf numFmtId="0" fontId="11" fillId="11" borderId="20" xfId="0" applyNumberFormat="1" applyFont="1" applyFill="1" applyBorder="1" applyAlignment="1" applyProtection="1">
      <alignment horizontal="center"/>
    </xf>
    <xf numFmtId="0" fontId="31" fillId="0" borderId="2" xfId="0" applyNumberFormat="1" applyFont="1" applyFill="1" applyBorder="1" applyAlignment="1" applyProtection="1">
      <alignment horizontal="left" wrapText="1"/>
    </xf>
    <xf numFmtId="0" fontId="31" fillId="0" borderId="2" xfId="0" applyNumberFormat="1" applyFont="1" applyFill="1" applyBorder="1" applyAlignment="1" applyProtection="1">
      <alignment horizontal="center"/>
    </xf>
    <xf numFmtId="1" fontId="31" fillId="0" borderId="6" xfId="0" applyNumberFormat="1" applyFont="1" applyFill="1" applyBorder="1" applyAlignment="1" applyProtection="1">
      <alignment horizontal="center"/>
    </xf>
    <xf numFmtId="1" fontId="31" fillId="0" borderId="6" xfId="0" applyNumberFormat="1" applyFont="1" applyFill="1" applyBorder="1" applyAlignment="1" applyProtection="1"/>
    <xf numFmtId="1" fontId="31" fillId="0" borderId="19" xfId="0" applyNumberFormat="1" applyFont="1" applyFill="1" applyBorder="1" applyAlignment="1" applyProtection="1"/>
    <xf numFmtId="0" fontId="11" fillId="11" borderId="18" xfId="0" applyNumberFormat="1" applyFont="1" applyFill="1" applyBorder="1" applyAlignment="1" applyProtection="1">
      <alignment horizontal="center"/>
    </xf>
    <xf numFmtId="0" fontId="31" fillId="0" borderId="2" xfId="0" applyNumberFormat="1" applyFont="1" applyFill="1" applyBorder="1" applyAlignment="1" applyProtection="1">
      <alignment vertical="top" wrapText="1"/>
    </xf>
    <xf numFmtId="1" fontId="31" fillId="0" borderId="2" xfId="0" applyNumberFormat="1" applyFont="1" applyFill="1" applyBorder="1" applyAlignment="1" applyProtection="1">
      <alignment horizontal="center"/>
    </xf>
    <xf numFmtId="1" fontId="31" fillId="0" borderId="2" xfId="0" applyNumberFormat="1" applyFont="1" applyFill="1" applyBorder="1" applyAlignment="1" applyProtection="1"/>
    <xf numFmtId="0" fontId="31" fillId="0" borderId="7" xfId="0" applyNumberFormat="1" applyFont="1" applyFill="1" applyBorder="1" applyAlignment="1" applyProtection="1"/>
    <xf numFmtId="0" fontId="31" fillId="0" borderId="7" xfId="0" applyNumberFormat="1" applyFont="1" applyFill="1" applyBorder="1" applyAlignment="1" applyProtection="1">
      <alignment horizontal="center" wrapText="1"/>
    </xf>
    <xf numFmtId="1" fontId="31" fillId="0" borderId="7" xfId="0" applyNumberFormat="1" applyFont="1" applyFill="1" applyBorder="1" applyAlignment="1" applyProtection="1">
      <alignment horizontal="center" wrapText="1"/>
    </xf>
    <xf numFmtId="1" fontId="31" fillId="0" borderId="7" xfId="0" applyNumberFormat="1" applyFont="1" applyFill="1" applyBorder="1" applyAlignment="1" applyProtection="1">
      <alignment wrapText="1"/>
    </xf>
    <xf numFmtId="0" fontId="31" fillId="0" borderId="2" xfId="0" applyNumberFormat="1" applyFont="1" applyFill="1" applyBorder="1" applyAlignment="1" applyProtection="1"/>
    <xf numFmtId="0" fontId="31" fillId="0" borderId="8" xfId="0" applyNumberFormat="1" applyFont="1" applyFill="1" applyBorder="1" applyAlignment="1" applyProtection="1">
      <alignment wrapText="1"/>
    </xf>
    <xf numFmtId="164" fontId="31" fillId="0" borderId="19" xfId="0" applyNumberFormat="1" applyFont="1" applyFill="1" applyBorder="1" applyAlignment="1" applyProtection="1"/>
    <xf numFmtId="0" fontId="11" fillId="0" borderId="17" xfId="0" applyNumberFormat="1" applyFont="1" applyFill="1" applyBorder="1" applyAlignment="1" applyProtection="1">
      <alignment vertical="top" wrapText="1"/>
    </xf>
    <xf numFmtId="0" fontId="31" fillId="0" borderId="17" xfId="0" applyNumberFormat="1" applyFont="1" applyFill="1" applyBorder="1" applyAlignment="1" applyProtection="1">
      <alignment vertical="top" wrapText="1"/>
    </xf>
    <xf numFmtId="0" fontId="11" fillId="0" borderId="0" xfId="0" applyNumberFormat="1" applyFont="1" applyFill="1" applyAlignment="1" applyProtection="1">
      <alignment vertical="top" wrapText="1"/>
    </xf>
    <xf numFmtId="0" fontId="31" fillId="0" borderId="0" xfId="0" applyNumberFormat="1" applyFont="1" applyFill="1" applyAlignment="1" applyProtection="1">
      <alignment vertical="top" wrapText="1"/>
    </xf>
    <xf numFmtId="37" fontId="8" fillId="16" borderId="2" xfId="0" applyNumberFormat="1" applyFont="1" applyFill="1" applyBorder="1" applyAlignment="1" applyProtection="1">
      <protection locked="0"/>
    </xf>
    <xf numFmtId="0" fontId="11" fillId="16" borderId="2" xfId="0" applyNumberFormat="1" applyFont="1" applyFill="1" applyBorder="1" applyAlignment="1" applyProtection="1">
      <alignment horizontal="left" wrapText="1"/>
      <protection locked="0"/>
    </xf>
    <xf numFmtId="0" fontId="43" fillId="0" borderId="0" xfId="0" applyNumberFormat="1" applyFont="1" applyFill="1" applyAlignment="1" applyProtection="1">
      <alignment horizontal="center"/>
    </xf>
    <xf numFmtId="0" fontId="42" fillId="0" borderId="0" xfId="0" applyNumberFormat="1" applyFont="1" applyFill="1" applyAlignment="1" applyProtection="1">
      <alignment horizontal="center"/>
    </xf>
    <xf numFmtId="0" fontId="1" fillId="16" borderId="8" xfId="0" applyNumberFormat="1" applyFont="1" applyFill="1" applyBorder="1" applyAlignment="1" applyProtection="1">
      <alignment horizontal="left" vertical="center" wrapText="1"/>
    </xf>
    <xf numFmtId="0" fontId="13" fillId="16" borderId="8" xfId="0" applyNumberFormat="1" applyFont="1" applyFill="1" applyBorder="1" applyAlignment="1" applyProtection="1">
      <alignment horizontal="left" vertical="center" wrapText="1"/>
    </xf>
    <xf numFmtId="0" fontId="1" fillId="9" borderId="8" xfId="0" applyNumberFormat="1" applyFont="1" applyFill="1" applyBorder="1" applyAlignment="1" applyProtection="1">
      <alignment horizontal="left" vertical="center" wrapText="1"/>
    </xf>
    <xf numFmtId="0" fontId="13" fillId="9" borderId="8" xfId="0" applyNumberFormat="1" applyFont="1" applyFill="1" applyBorder="1" applyAlignment="1" applyProtection="1">
      <alignment horizontal="left" vertical="center" wrapText="1"/>
    </xf>
    <xf numFmtId="0" fontId="36" fillId="16" borderId="8" xfId="0" applyNumberFormat="1" applyFont="1" applyFill="1" applyBorder="1" applyAlignment="1" applyProtection="1">
      <alignment horizontal="left" vertical="center" wrapText="1"/>
    </xf>
    <xf numFmtId="0" fontId="2" fillId="16" borderId="0" xfId="0" applyNumberFormat="1" applyFont="1" applyFill="1" applyAlignment="1" applyProtection="1">
      <alignment horizontal="left" wrapText="1"/>
    </xf>
    <xf numFmtId="0" fontId="9" fillId="6" borderId="12" xfId="0" applyNumberFormat="1" applyFont="1" applyFill="1" applyBorder="1" applyAlignment="1" applyProtection="1">
      <alignment horizontal="left" vertical="center" wrapText="1"/>
    </xf>
    <xf numFmtId="0" fontId="9" fillId="6" borderId="0" xfId="0" applyNumberFormat="1" applyFont="1" applyFill="1" applyAlignment="1" applyProtection="1">
      <alignment horizontal="left" vertical="top" wrapText="1"/>
    </xf>
    <xf numFmtId="0" fontId="26" fillId="6" borderId="7" xfId="0" applyNumberFormat="1" applyFont="1" applyFill="1" applyBorder="1" applyAlignment="1" applyProtection="1">
      <alignment horizontal="center" vertical="center" wrapText="1"/>
    </xf>
    <xf numFmtId="0" fontId="26" fillId="6" borderId="8" xfId="0" applyNumberFormat="1" applyFont="1" applyFill="1" applyBorder="1" applyAlignment="1" applyProtection="1">
      <alignment horizontal="center" vertical="center" wrapText="1"/>
    </xf>
    <xf numFmtId="0" fontId="26" fillId="6" borderId="9" xfId="0" applyNumberFormat="1" applyFont="1" applyFill="1" applyBorder="1" applyAlignment="1" applyProtection="1">
      <alignment horizontal="center" vertical="center" wrapText="1"/>
    </xf>
    <xf numFmtId="0" fontId="11" fillId="4" borderId="7" xfId="0" applyNumberFormat="1" applyFont="1" applyFill="1" applyBorder="1" applyAlignment="1" applyProtection="1">
      <alignment horizontal="left" wrapText="1"/>
    </xf>
    <xf numFmtId="0" fontId="11" fillId="4" borderId="8" xfId="0" applyNumberFormat="1" applyFont="1" applyFill="1" applyBorder="1" applyAlignment="1" applyProtection="1">
      <alignment horizontal="left" wrapText="1"/>
    </xf>
    <xf numFmtId="0" fontId="9" fillId="6" borderId="12" xfId="0" applyNumberFormat="1" applyFont="1" applyFill="1" applyBorder="1" applyAlignment="1" applyProtection="1">
      <alignment horizontal="left" vertical="top" wrapText="1"/>
    </xf>
    <xf numFmtId="0" fontId="6" fillId="2" borderId="12" xfId="0" applyNumberFormat="1" applyFont="1" applyFill="1" applyBorder="1" applyAlignment="1" applyProtection="1">
      <alignment horizontal="left" vertical="top" wrapText="1"/>
    </xf>
    <xf numFmtId="0" fontId="6" fillId="2" borderId="12" xfId="0" applyNumberFormat="1" applyFont="1" applyFill="1" applyBorder="1" applyAlignment="1" applyProtection="1">
      <alignment horizontal="center"/>
    </xf>
    <xf numFmtId="0" fontId="6" fillId="2" borderId="11" xfId="0" applyNumberFormat="1" applyFont="1" applyFill="1" applyBorder="1" applyAlignment="1" applyProtection="1">
      <alignment horizontal="center"/>
    </xf>
    <xf numFmtId="0" fontId="6" fillId="2" borderId="7" xfId="0" applyNumberFormat="1" applyFont="1" applyFill="1" applyBorder="1" applyAlignment="1" applyProtection="1">
      <alignment horizontal="center"/>
    </xf>
    <xf numFmtId="0" fontId="6" fillId="2" borderId="8" xfId="0" applyNumberFormat="1" applyFont="1" applyFill="1" applyBorder="1" applyAlignment="1" applyProtection="1">
      <alignment horizontal="center"/>
    </xf>
    <xf numFmtId="0" fontId="6" fillId="2" borderId="9" xfId="0" applyNumberFormat="1" applyFont="1" applyFill="1" applyBorder="1" applyAlignment="1" applyProtection="1">
      <alignment horizontal="center"/>
    </xf>
    <xf numFmtId="0" fontId="9" fillId="6" borderId="7" xfId="0" applyNumberFormat="1" applyFont="1" applyFill="1" applyBorder="1" applyAlignment="1" applyProtection="1">
      <alignment horizontal="center" wrapText="1"/>
    </xf>
    <xf numFmtId="0" fontId="9" fillId="6" borderId="8" xfId="0" applyNumberFormat="1" applyFont="1" applyFill="1" applyBorder="1" applyAlignment="1" applyProtection="1">
      <alignment horizontal="center" wrapText="1"/>
    </xf>
    <xf numFmtId="0" fontId="9" fillId="6" borderId="9" xfId="0" applyNumberFormat="1" applyFont="1" applyFill="1" applyBorder="1" applyAlignment="1" applyProtection="1">
      <alignment horizontal="center" wrapText="1"/>
    </xf>
    <xf numFmtId="0" fontId="15" fillId="6" borderId="1" xfId="0" applyNumberFormat="1" applyFont="1" applyFill="1" applyBorder="1" applyAlignment="1" applyProtection="1">
      <alignment horizontal="center" vertical="center"/>
    </xf>
    <xf numFmtId="0" fontId="15" fillId="6" borderId="12" xfId="0" applyNumberFormat="1" applyFont="1" applyFill="1" applyBorder="1" applyAlignment="1" applyProtection="1">
      <alignment horizontal="center" vertical="center"/>
    </xf>
    <xf numFmtId="0" fontId="15" fillId="6" borderId="11" xfId="0" applyNumberFormat="1" applyFont="1" applyFill="1" applyBorder="1" applyAlignment="1" applyProtection="1">
      <alignment horizontal="center" vertical="center"/>
    </xf>
    <xf numFmtId="0" fontId="15" fillId="6" borderId="1" xfId="0" applyNumberFormat="1" applyFont="1" applyFill="1" applyBorder="1" applyAlignment="1" applyProtection="1">
      <alignment horizontal="center" vertical="center" wrapText="1"/>
    </xf>
    <xf numFmtId="0" fontId="15" fillId="6" borderId="12" xfId="0" applyNumberFormat="1" applyFont="1" applyFill="1" applyBorder="1" applyAlignment="1" applyProtection="1">
      <alignment horizontal="center" vertical="center" wrapText="1"/>
    </xf>
    <xf numFmtId="0" fontId="15" fillId="6" borderId="11" xfId="0" applyNumberFormat="1" applyFont="1" applyFill="1" applyBorder="1" applyAlignment="1" applyProtection="1">
      <alignment horizontal="center" vertical="center" wrapText="1"/>
    </xf>
    <xf numFmtId="0" fontId="15" fillId="6" borderId="15" xfId="0" applyNumberFormat="1" applyFont="1" applyFill="1" applyBorder="1" applyAlignment="1" applyProtection="1">
      <alignment horizontal="center" vertical="center" wrapText="1"/>
    </xf>
    <xf numFmtId="0" fontId="15" fillId="6" borderId="3" xfId="0" applyNumberFormat="1" applyFont="1" applyFill="1" applyBorder="1" applyAlignment="1" applyProtection="1">
      <alignment horizontal="center" vertical="center" wrapText="1"/>
    </xf>
    <xf numFmtId="0" fontId="15" fillId="6" borderId="10" xfId="0" applyNumberFormat="1" applyFont="1" applyFill="1" applyBorder="1" applyAlignment="1" applyProtection="1">
      <alignment horizontal="center" vertical="center" wrapText="1"/>
    </xf>
    <xf numFmtId="0" fontId="15" fillId="6" borderId="15" xfId="0" applyNumberFormat="1" applyFont="1" applyFill="1" applyBorder="1" applyAlignment="1" applyProtection="1">
      <alignment horizontal="center" vertical="center"/>
    </xf>
    <xf numFmtId="0" fontId="15" fillId="6" borderId="3" xfId="0" applyNumberFormat="1" applyFont="1" applyFill="1" applyBorder="1" applyAlignment="1" applyProtection="1">
      <alignment horizontal="center" vertical="center"/>
    </xf>
    <xf numFmtId="0" fontId="15" fillId="6" borderId="10" xfId="0" applyNumberFormat="1" applyFont="1" applyFill="1" applyBorder="1" applyAlignment="1" applyProtection="1">
      <alignment horizontal="center" vertical="center"/>
    </xf>
    <xf numFmtId="0" fontId="9" fillId="6" borderId="7" xfId="0" applyNumberFormat="1" applyFont="1" applyFill="1" applyBorder="1" applyAlignment="1" applyProtection="1">
      <alignment horizontal="center"/>
    </xf>
    <xf numFmtId="0" fontId="9" fillId="6" borderId="8" xfId="0" applyNumberFormat="1" applyFont="1" applyFill="1" applyBorder="1" applyAlignment="1" applyProtection="1">
      <alignment horizontal="center"/>
    </xf>
    <xf numFmtId="0" fontId="9" fillId="6" borderId="9" xfId="0" applyNumberFormat="1" applyFont="1" applyFill="1" applyBorder="1" applyAlignment="1" applyProtection="1">
      <alignment horizontal="center"/>
    </xf>
    <xf numFmtId="0" fontId="6" fillId="2" borderId="2" xfId="0" applyNumberFormat="1" applyFont="1" applyFill="1" applyBorder="1" applyAlignment="1" applyProtection="1">
      <alignment horizontal="center"/>
    </xf>
    <xf numFmtId="0" fontId="10" fillId="8" borderId="7" xfId="0" applyNumberFormat="1" applyFont="1" applyFill="1" applyBorder="1" applyAlignment="1" applyProtection="1">
      <alignment horizontal="left" wrapText="1"/>
    </xf>
    <xf numFmtId="0" fontId="10" fillId="8" borderId="8" xfId="0" applyNumberFormat="1" applyFont="1" applyFill="1" applyBorder="1" applyAlignment="1" applyProtection="1">
      <alignment horizontal="left" wrapText="1"/>
    </xf>
    <xf numFmtId="0" fontId="10" fillId="8" borderId="9" xfId="0" applyNumberFormat="1" applyFont="1" applyFill="1" applyBorder="1" applyAlignment="1" applyProtection="1">
      <alignment horizontal="left" wrapText="1"/>
    </xf>
    <xf numFmtId="0" fontId="11" fillId="0" borderId="0" xfId="0" applyNumberFormat="1" applyFont="1" applyFill="1" applyAlignment="1" applyProtection="1">
      <alignment horizontal="center" wrapText="1"/>
    </xf>
    <xf numFmtId="0" fontId="28" fillId="0" borderId="0" xfId="0" applyNumberFormat="1" applyFont="1" applyFill="1" applyAlignment="1" applyProtection="1">
      <alignment horizontal="center"/>
    </xf>
    <xf numFmtId="0" fontId="11" fillId="7" borderId="7" xfId="0" applyNumberFormat="1" applyFont="1" applyFill="1" applyBorder="1" applyAlignment="1" applyProtection="1">
      <alignment horizontal="left" vertical="center"/>
    </xf>
    <xf numFmtId="0" fontId="11" fillId="7" borderId="8" xfId="0" applyNumberFormat="1" applyFont="1" applyFill="1" applyBorder="1" applyAlignment="1" applyProtection="1">
      <alignment horizontal="left" vertical="center"/>
    </xf>
    <xf numFmtId="0" fontId="0" fillId="0" borderId="8" xfId="0" applyNumberFormat="1" applyFill="1" applyBorder="1" applyAlignment="1" applyProtection="1"/>
    <xf numFmtId="0" fontId="0" fillId="0" borderId="9" xfId="0" applyNumberFormat="1" applyFill="1" applyBorder="1" applyAlignment="1" applyProtection="1"/>
    <xf numFmtId="168" fontId="8" fillId="10" borderId="7" xfId="0" applyNumberFormat="1" applyFont="1" applyFill="1" applyBorder="1" applyAlignment="1" applyProtection="1">
      <alignment horizontal="center"/>
      <protection locked="0"/>
    </xf>
    <xf numFmtId="168" fontId="8" fillId="10" borderId="9" xfId="0" applyNumberFormat="1" applyFont="1" applyFill="1" applyBorder="1" applyAlignment="1" applyProtection="1">
      <alignment horizontal="center"/>
      <protection locked="0"/>
    </xf>
    <xf numFmtId="37" fontId="1" fillId="10" borderId="7" xfId="0" applyNumberFormat="1" applyFont="1" applyFill="1" applyBorder="1" applyAlignment="1" applyProtection="1">
      <alignment horizontal="center"/>
    </xf>
    <xf numFmtId="37" fontId="1" fillId="10" borderId="9" xfId="0" applyNumberFormat="1" applyFont="1" applyFill="1" applyBorder="1" applyAlignment="1" applyProtection="1">
      <alignment horizontal="center"/>
    </xf>
    <xf numFmtId="0" fontId="9" fillId="6" borderId="12" xfId="0" applyNumberFormat="1" applyFont="1" applyFill="1" applyBorder="1" applyAlignment="1" applyProtection="1">
      <alignment vertical="center" wrapText="1"/>
    </xf>
    <xf numFmtId="0" fontId="9" fillId="6" borderId="3" xfId="0" applyNumberFormat="1" applyFont="1" applyFill="1" applyBorder="1" applyAlignment="1" applyProtection="1">
      <alignment vertical="center" wrapText="1"/>
    </xf>
    <xf numFmtId="0" fontId="9" fillId="6" borderId="7" xfId="0" applyNumberFormat="1" applyFont="1" applyFill="1" applyBorder="1" applyAlignment="1" applyProtection="1">
      <alignment horizontal="center" vertical="center" wrapText="1"/>
    </xf>
    <xf numFmtId="0" fontId="9" fillId="6" borderId="9" xfId="0" applyNumberFormat="1" applyFont="1" applyFill="1" applyBorder="1" applyAlignment="1" applyProtection="1">
      <alignment horizontal="center" vertical="center" wrapText="1"/>
    </xf>
    <xf numFmtId="37" fontId="8" fillId="10" borderId="7" xfId="0" applyNumberFormat="1" applyFont="1" applyFill="1" applyBorder="1" applyAlignment="1" applyProtection="1">
      <alignment horizontal="center"/>
      <protection locked="0"/>
    </xf>
    <xf numFmtId="37" fontId="8" fillId="10" borderId="9" xfId="0" applyNumberFormat="1" applyFont="1" applyFill="1" applyBorder="1" applyAlignment="1" applyProtection="1">
      <alignment horizontal="center"/>
      <protection locked="0"/>
    </xf>
    <xf numFmtId="0" fontId="9" fillId="6" borderId="13" xfId="0" applyNumberFormat="1" applyFont="1" applyFill="1" applyBorder="1" applyAlignment="1" applyProtection="1">
      <alignment wrapText="1"/>
    </xf>
    <xf numFmtId="0" fontId="9" fillId="6" borderId="0" xfId="0" applyNumberFormat="1" applyFont="1" applyFill="1" applyAlignment="1" applyProtection="1">
      <alignment wrapText="1"/>
    </xf>
    <xf numFmtId="0" fontId="26" fillId="6" borderId="0" xfId="0" applyNumberFormat="1" applyFont="1" applyFill="1" applyAlignment="1" applyProtection="1">
      <alignment horizontal="left" vertical="center" wrapText="1"/>
    </xf>
    <xf numFmtId="0" fontId="1" fillId="4" borderId="7" xfId="0" applyNumberFormat="1" applyFont="1" applyFill="1" applyBorder="1" applyAlignment="1" applyProtection="1">
      <alignment horizontal="left" vertical="top" wrapText="1"/>
    </xf>
    <xf numFmtId="0" fontId="1" fillId="4" borderId="8" xfId="0" applyNumberFormat="1" applyFont="1" applyFill="1" applyBorder="1" applyAlignment="1" applyProtection="1">
      <alignment horizontal="left" vertical="top" wrapText="1"/>
    </xf>
    <xf numFmtId="0" fontId="11" fillId="0" borderId="7" xfId="0" applyNumberFormat="1" applyFont="1" applyFill="1" applyBorder="1" applyAlignment="1" applyProtection="1">
      <alignment horizontal="left" vertical="top" wrapText="1"/>
      <protection locked="0"/>
    </xf>
    <xf numFmtId="0" fontId="11" fillId="0" borderId="8" xfId="0" applyNumberFormat="1" applyFont="1" applyFill="1" applyBorder="1" applyAlignment="1" applyProtection="1">
      <alignment horizontal="left" vertical="top" wrapText="1"/>
      <protection locked="0"/>
    </xf>
    <xf numFmtId="0" fontId="11" fillId="0" borderId="9" xfId="0" applyNumberFormat="1" applyFont="1" applyFill="1" applyBorder="1" applyAlignment="1" applyProtection="1">
      <alignment horizontal="left" vertical="top" wrapText="1"/>
      <protection locked="0"/>
    </xf>
    <xf numFmtId="0" fontId="2" fillId="3" borderId="7" xfId="0" applyNumberFormat="1" applyFont="1" applyFill="1" applyBorder="1" applyAlignment="1" applyProtection="1">
      <alignment horizontal="left"/>
    </xf>
    <xf numFmtId="0" fontId="2" fillId="3" borderId="8" xfId="0" applyNumberFormat="1" applyFont="1" applyFill="1" applyBorder="1" applyAlignment="1" applyProtection="1">
      <alignment horizontal="left"/>
    </xf>
    <xf numFmtId="0" fontId="2" fillId="3" borderId="7" xfId="0" applyNumberFormat="1" applyFont="1" applyFill="1" applyBorder="1" applyAlignment="1" applyProtection="1">
      <alignment horizontal="left" wrapText="1"/>
    </xf>
    <xf numFmtId="0" fontId="2" fillId="3" borderId="8" xfId="0" applyNumberFormat="1" applyFont="1" applyFill="1" applyBorder="1" applyAlignment="1" applyProtection="1">
      <alignment horizontal="left" wrapText="1"/>
    </xf>
    <xf numFmtId="0" fontId="1" fillId="4" borderId="7" xfId="0" applyNumberFormat="1" applyFont="1" applyFill="1" applyBorder="1" applyAlignment="1" applyProtection="1">
      <alignment horizontal="left"/>
    </xf>
    <xf numFmtId="0" fontId="0" fillId="0" borderId="8" xfId="0" applyNumberFormat="1" applyFill="1" applyBorder="1" applyAlignment="1" applyProtection="1">
      <alignment horizontal="left"/>
    </xf>
    <xf numFmtId="0" fontId="0" fillId="0" borderId="9" xfId="0" applyNumberFormat="1" applyFill="1" applyBorder="1" applyAlignment="1" applyProtection="1">
      <alignment horizontal="left"/>
    </xf>
    <xf numFmtId="0" fontId="11" fillId="10" borderId="8" xfId="0" applyNumberFormat="1" applyFont="1" applyFill="1" applyBorder="1" applyAlignment="1" applyProtection="1">
      <alignment horizontal="left"/>
    </xf>
    <xf numFmtId="0" fontId="11" fillId="10" borderId="9" xfId="0" applyNumberFormat="1" applyFont="1" applyFill="1" applyBorder="1" applyAlignment="1" applyProtection="1">
      <alignment horizontal="left"/>
    </xf>
    <xf numFmtId="37" fontId="8" fillId="10" borderId="7" xfId="0" applyNumberFormat="1" applyFont="1" applyFill="1" applyBorder="1" applyAlignment="1" applyProtection="1">
      <alignment horizontal="center" wrapText="1"/>
      <protection locked="0"/>
    </xf>
    <xf numFmtId="0" fontId="11" fillId="0" borderId="8" xfId="0" applyFont="1" applyFill="1" applyBorder="1"/>
    <xf numFmtId="0" fontId="10" fillId="7" borderId="7" xfId="0" applyNumberFormat="1" applyFont="1" applyFill="1" applyBorder="1" applyAlignment="1" applyProtection="1"/>
    <xf numFmtId="0" fontId="10" fillId="7" borderId="8" xfId="0" applyNumberFormat="1" applyFont="1" applyFill="1" applyBorder="1" applyAlignment="1" applyProtection="1"/>
    <xf numFmtId="0" fontId="10" fillId="7" borderId="9" xfId="0" applyNumberFormat="1" applyFont="1" applyFill="1" applyBorder="1" applyAlignment="1" applyProtection="1"/>
    <xf numFmtId="0" fontId="31" fillId="0" borderId="7" xfId="0" applyNumberFormat="1" applyFont="1" applyFill="1" applyBorder="1" applyAlignment="1" applyProtection="1">
      <alignment vertical="top" wrapText="1"/>
    </xf>
    <xf numFmtId="0" fontId="31" fillId="0" borderId="9" xfId="0" applyNumberFormat="1" applyFont="1" applyFill="1" applyBorder="1" applyAlignment="1" applyProtection="1">
      <alignment vertical="top" wrapText="1"/>
    </xf>
    <xf numFmtId="0" fontId="31" fillId="0" borderId="7" xfId="0" applyNumberFormat="1" applyFont="1" applyFill="1" applyBorder="1" applyAlignment="1" applyProtection="1"/>
    <xf numFmtId="0" fontId="31" fillId="0" borderId="9" xfId="0" applyNumberFormat="1" applyFont="1" applyFill="1" applyBorder="1" applyAlignment="1" applyProtection="1"/>
    <xf numFmtId="0" fontId="30" fillId="6" borderId="26" xfId="0" applyNumberFormat="1" applyFont="1" applyFill="1" applyBorder="1" applyAlignment="1" applyProtection="1">
      <alignment horizontal="center"/>
    </xf>
    <xf numFmtId="0" fontId="30" fillId="6" borderId="21" xfId="0" applyNumberFormat="1" applyFont="1" applyFill="1" applyBorder="1" applyAlignment="1" applyProtection="1">
      <alignment horizontal="center"/>
    </xf>
    <xf numFmtId="0" fontId="10" fillId="0" borderId="2"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31" fillId="0" borderId="7" xfId="0" applyNumberFormat="1" applyFont="1" applyFill="1" applyBorder="1" applyAlignment="1" applyProtection="1">
      <alignment wrapText="1"/>
    </xf>
    <xf numFmtId="0" fontId="31" fillId="0" borderId="9" xfId="0" applyNumberFormat="1" applyFont="1" applyFill="1" applyBorder="1" applyAlignment="1" applyProtection="1">
      <alignment wrapText="1"/>
    </xf>
    <xf numFmtId="0" fontId="31" fillId="0" borderId="8" xfId="0" applyNumberFormat="1" applyFont="1" applyFill="1" applyBorder="1" applyAlignment="1" applyProtection="1"/>
  </cellXfs>
  <cellStyles count="10">
    <cellStyle name="Comma 2" xfId="9"/>
    <cellStyle name="Normal" xfId="0" builtinId="0"/>
    <cellStyle name="Normal 2" xfId="1"/>
    <cellStyle name="Normal 2 2" xfId="3"/>
    <cellStyle name="Normal 3" xfId="2"/>
    <cellStyle name="Normal 4" xfId="4"/>
    <cellStyle name="Normal 5" xfId="5"/>
    <cellStyle name="Percent 2" xfId="6"/>
    <cellStyle name="Percent 3" xfId="7"/>
    <cellStyle name="Percent 4" xfId="8"/>
  </cellStyles>
  <dxfs count="259">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8585"/>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47"/>
      </font>
    </dxf>
  </dxfs>
  <tableStyles count="0" defaultTableStyle="TableStyleMedium2" defaultPivotStyle="PivotStyleLight16"/>
  <colors>
    <mruColors>
      <color rgb="FFFFFF66"/>
      <color rgb="FFDDE1EB"/>
      <color rgb="FF0000FF"/>
      <color rgb="FF647B96"/>
      <color rgb="FFAFC0EF"/>
      <color rgb="FFFF8585"/>
      <color rgb="FFFF8F8F"/>
      <color rgb="FFFF8FFF"/>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hesa.ac.uk/collection/c18031" TargetMode="External"/><Relationship Id="rId1" Type="http://schemas.openxmlformats.org/officeDocument/2006/relationships/hyperlink" Target="mailto:liaison@hesa.ac.u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B28" sqref="B28 B28"/>
    </sheetView>
  </sheetViews>
  <sheetFormatPr defaultRowHeight="15" x14ac:dyDescent="0.25"/>
  <cols>
    <col min="1" max="1" width="18.7109375" style="3" bestFit="1" customWidth="1"/>
    <col min="2" max="2" width="9.5703125" style="3" bestFit="1" customWidth="1"/>
  </cols>
  <sheetData>
    <row r="1" spans="1:13" x14ac:dyDescent="0.25">
      <c r="A1" s="4" t="s">
        <v>0</v>
      </c>
      <c r="M1" s="4" t="s">
        <v>1</v>
      </c>
    </row>
    <row r="2" spans="1:13" x14ac:dyDescent="0.25">
      <c r="A2" s="3" t="s">
        <v>2</v>
      </c>
      <c r="L2" s="3">
        <v>1</v>
      </c>
      <c r="M2" s="5" t="s">
        <v>3</v>
      </c>
    </row>
    <row r="3" spans="1:13" x14ac:dyDescent="0.25">
      <c r="A3" s="5" t="s">
        <v>4</v>
      </c>
      <c r="L3" s="3">
        <v>2</v>
      </c>
      <c r="M3" s="5" t="s">
        <v>5</v>
      </c>
    </row>
    <row r="4" spans="1:13" x14ac:dyDescent="0.25">
      <c r="A4" s="3" t="s">
        <v>6</v>
      </c>
      <c r="L4" s="3">
        <v>3</v>
      </c>
      <c r="M4" s="3" t="s">
        <v>7</v>
      </c>
    </row>
    <row r="5" spans="1:13" x14ac:dyDescent="0.25">
      <c r="A5" s="3" t="s">
        <v>8</v>
      </c>
      <c r="L5" s="3">
        <v>4</v>
      </c>
      <c r="M5" s="3" t="s">
        <v>9</v>
      </c>
    </row>
    <row r="6" spans="1:13" x14ac:dyDescent="0.25">
      <c r="A6" s="3" t="s">
        <v>10</v>
      </c>
    </row>
    <row r="7" spans="1:13" x14ac:dyDescent="0.25">
      <c r="A7" s="3" t="s">
        <v>11</v>
      </c>
    </row>
    <row r="8" spans="1:13" x14ac:dyDescent="0.25">
      <c r="A8" s="3" t="s">
        <v>12</v>
      </c>
    </row>
    <row r="10" spans="1:13" x14ac:dyDescent="0.25">
      <c r="A10" s="607" t="s">
        <v>13</v>
      </c>
      <c r="B10" s="607"/>
      <c r="C10" s="607"/>
    </row>
    <row r="11" spans="1:13" x14ac:dyDescent="0.25">
      <c r="A11" s="6" t="s">
        <v>2</v>
      </c>
      <c r="B11" s="7" t="s">
        <v>14</v>
      </c>
      <c r="C11" s="8" t="s">
        <v>10</v>
      </c>
    </row>
    <row r="12" spans="1:13" x14ac:dyDescent="0.25">
      <c r="A12" s="9" t="s">
        <v>4</v>
      </c>
      <c r="B12" s="10" t="s">
        <v>14</v>
      </c>
      <c r="C12" s="11" t="s">
        <v>6</v>
      </c>
    </row>
    <row r="13" spans="1:13" x14ac:dyDescent="0.25">
      <c r="A13" s="12" t="s">
        <v>8</v>
      </c>
      <c r="B13" s="13" t="s">
        <v>14</v>
      </c>
      <c r="C13" s="14" t="s">
        <v>6</v>
      </c>
    </row>
    <row r="14" spans="1:13" x14ac:dyDescent="0.25">
      <c r="A14" s="15" t="s">
        <v>15</v>
      </c>
      <c r="B14" s="16" t="s">
        <v>14</v>
      </c>
      <c r="C14" s="17" t="s">
        <v>16</v>
      </c>
    </row>
    <row r="15" spans="1:13" x14ac:dyDescent="0.25">
      <c r="A15" s="18" t="s">
        <v>17</v>
      </c>
      <c r="B15" s="19" t="s">
        <v>14</v>
      </c>
      <c r="C15" s="20" t="s">
        <v>16</v>
      </c>
    </row>
    <row r="16" spans="1:13" x14ac:dyDescent="0.25">
      <c r="A16" s="12" t="s">
        <v>18</v>
      </c>
      <c r="B16" s="13" t="s">
        <v>14</v>
      </c>
      <c r="C16" s="14" t="s">
        <v>16</v>
      </c>
    </row>
    <row r="18" spans="1:1" x14ac:dyDescent="0.25">
      <c r="A18" s="4" t="s">
        <v>19</v>
      </c>
    </row>
    <row r="19" spans="1:1" x14ac:dyDescent="0.25">
      <c r="A19" s="3" t="s">
        <v>20</v>
      </c>
    </row>
    <row r="21" spans="1:1" x14ac:dyDescent="0.25">
      <c r="A21" s="4" t="s">
        <v>21</v>
      </c>
    </row>
    <row r="22" spans="1:1" x14ac:dyDescent="0.25">
      <c r="A22" s="3" t="s">
        <v>22</v>
      </c>
    </row>
    <row r="23" spans="1:1" x14ac:dyDescent="0.25">
      <c r="A23" s="21" t="s">
        <v>23</v>
      </c>
    </row>
    <row r="24" spans="1:1" x14ac:dyDescent="0.25">
      <c r="A24" s="21" t="s">
        <v>24</v>
      </c>
    </row>
    <row r="25" spans="1:1" x14ac:dyDescent="0.25">
      <c r="A25" s="21" t="s">
        <v>25</v>
      </c>
    </row>
    <row r="27" spans="1:1" x14ac:dyDescent="0.25">
      <c r="A27" s="4" t="s">
        <v>26</v>
      </c>
    </row>
    <row r="28" spans="1:1" x14ac:dyDescent="0.25">
      <c r="A28" s="3" t="s">
        <v>27</v>
      </c>
    </row>
    <row r="29" spans="1:1" x14ac:dyDescent="0.25">
      <c r="A29" s="3" t="s">
        <v>28</v>
      </c>
    </row>
  </sheetData>
  <sheetProtection algorithmName="SHA-512" hashValue="JxbQqur9wXaNGPt2cKP37JY74aDqP+PXJSEmJiMf58L83Nvu/BVnRLoA2NgcU+srSgwfTjBu1zJKMOTnfBqm4g==" saltValue="JzdlTgmstGWyug59GxPvEw==" spinCount="100000" sheet="1" objects="1" scenarios="1"/>
  <mergeCells count="1">
    <mergeCell ref="A10:C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74"/>
  <sheetViews>
    <sheetView zoomScale="80" zoomScaleNormal="80" workbookViewId="0">
      <pane xSplit="7" ySplit="6" topLeftCell="H37" activePane="bottomRight" state="frozenSplit"/>
      <selection activeCell="H1" sqref="H1 H1"/>
      <selection pane="topRight"/>
      <selection pane="bottomLeft"/>
      <selection pane="bottomRight" activeCell="K65" sqref="K65"/>
    </sheetView>
  </sheetViews>
  <sheetFormatPr defaultColWidth="9.85546875" defaultRowHeight="12.75" x14ac:dyDescent="0.2"/>
  <cols>
    <col min="1" max="1" width="10" style="398" bestFit="1" customWidth="1"/>
    <col min="2" max="2" width="2.85546875" style="313" customWidth="1"/>
    <col min="3" max="3" width="5.28515625" style="313" customWidth="1"/>
    <col min="4" max="4" width="67.5703125" style="313" customWidth="1"/>
    <col min="5" max="5" width="2.85546875" style="313" hidden="1" customWidth="1"/>
    <col min="6" max="7" width="4.140625" style="313" hidden="1" customWidth="1"/>
    <col min="8" max="8" width="24.7109375" style="313" customWidth="1"/>
    <col min="9" max="9" width="24.85546875" style="313" customWidth="1"/>
    <col min="10" max="10" width="12" style="313" customWidth="1"/>
    <col min="11" max="11" width="12.5703125" style="313" customWidth="1"/>
    <col min="12" max="12" width="24.85546875" style="313" customWidth="1"/>
    <col min="13" max="13" width="24.5703125" style="313" customWidth="1"/>
    <col min="14" max="14" width="11.85546875" style="313" customWidth="1"/>
    <col min="15" max="15" width="12.140625" style="313" customWidth="1"/>
    <col min="16" max="16" width="16.140625" style="313" hidden="1" customWidth="1"/>
    <col min="17" max="17" width="19.140625" style="313" hidden="1" customWidth="1"/>
    <col min="18" max="18" width="11.85546875" style="313" hidden="1" customWidth="1"/>
    <col min="19" max="19" width="12.140625" style="313" hidden="1" customWidth="1"/>
    <col min="20" max="20" width="15.5703125" style="129" hidden="1" customWidth="1"/>
    <col min="21" max="21" width="15.140625" style="129" hidden="1" customWidth="1"/>
    <col min="22" max="22" width="14.7109375" style="313" hidden="1" customWidth="1"/>
    <col min="23" max="23" width="77.5703125" style="313" customWidth="1"/>
    <col min="24" max="24" width="9.85546875" style="313" customWidth="1"/>
    <col min="25" max="16384" width="9.85546875" style="313"/>
  </cols>
  <sheetData>
    <row r="1" spans="1:23" customFormat="1" ht="39.950000000000003" customHeight="1" x14ac:dyDescent="0.25">
      <c r="A1" s="314" t="s">
        <v>1126</v>
      </c>
      <c r="B1" s="623" t="s">
        <v>1127</v>
      </c>
      <c r="C1" s="623"/>
      <c r="D1" s="623"/>
      <c r="E1" s="623"/>
      <c r="F1" s="623"/>
      <c r="G1" s="315"/>
      <c r="H1" s="624"/>
      <c r="I1" s="624"/>
      <c r="J1" s="624"/>
      <c r="K1" s="625"/>
      <c r="L1" s="632" t="s">
        <v>780</v>
      </c>
      <c r="M1" s="633"/>
      <c r="N1" s="633"/>
      <c r="O1" s="634"/>
      <c r="P1" s="635" t="s">
        <v>1128</v>
      </c>
      <c r="Q1" s="636"/>
      <c r="R1" s="636"/>
      <c r="S1" s="637"/>
      <c r="T1" s="135"/>
    </row>
    <row r="2" spans="1:23" customFormat="1" ht="24.95" customHeight="1" x14ac:dyDescent="0.25">
      <c r="A2" s="316"/>
      <c r="B2" s="317"/>
      <c r="C2" s="317"/>
      <c r="D2" s="317"/>
      <c r="E2" s="317"/>
      <c r="F2" s="317"/>
      <c r="G2" s="317"/>
      <c r="H2" s="318"/>
      <c r="I2" s="318"/>
      <c r="J2" s="318"/>
      <c r="K2" s="319"/>
      <c r="L2" s="641" t="s">
        <v>781</v>
      </c>
      <c r="M2" s="642"/>
      <c r="N2" s="642"/>
      <c r="O2" s="643"/>
      <c r="P2" s="638" t="s">
        <v>782</v>
      </c>
      <c r="Q2" s="639"/>
      <c r="R2" s="639"/>
      <c r="S2" s="640"/>
      <c r="T2" s="135"/>
    </row>
    <row r="3" spans="1:23" customFormat="1" ht="28.35" customHeight="1" x14ac:dyDescent="0.25">
      <c r="A3" s="316"/>
      <c r="B3" s="317"/>
      <c r="C3" s="317"/>
      <c r="D3" s="317"/>
      <c r="E3" s="317"/>
      <c r="F3" s="317"/>
      <c r="G3" s="317"/>
      <c r="H3" s="629" t="str">
        <f>'Hide_me(drop_downs)'!I1</f>
        <v>Year ended 31 July 2019</v>
      </c>
      <c r="I3" s="630"/>
      <c r="J3" s="630"/>
      <c r="K3" s="631"/>
      <c r="L3" s="629" t="str">
        <f>'Hide_me(drop_downs)'!J1</f>
        <v>Year ended 31 July 2018</v>
      </c>
      <c r="M3" s="630"/>
      <c r="N3" s="630"/>
      <c r="O3" s="631"/>
      <c r="P3" s="629" t="str">
        <f>'Hide_me(drop_downs)'!J1</f>
        <v>Year ended 31 July 2018</v>
      </c>
      <c r="Q3" s="630"/>
      <c r="R3" s="630"/>
      <c r="S3" s="631"/>
      <c r="T3" s="135"/>
    </row>
    <row r="4" spans="1:23" customFormat="1" ht="22.35" customHeight="1" x14ac:dyDescent="0.25">
      <c r="A4" s="316"/>
      <c r="B4" s="317"/>
      <c r="C4" s="317"/>
      <c r="D4" s="317"/>
      <c r="E4" s="317"/>
      <c r="F4" s="317"/>
      <c r="G4" s="317"/>
      <c r="H4" s="626" t="s">
        <v>1129</v>
      </c>
      <c r="I4" s="627"/>
      <c r="J4" s="627"/>
      <c r="K4" s="628"/>
      <c r="L4" s="626" t="s">
        <v>1129</v>
      </c>
      <c r="M4" s="627"/>
      <c r="N4" s="627"/>
      <c r="O4" s="628"/>
      <c r="P4" s="626" t="s">
        <v>1129</v>
      </c>
      <c r="Q4" s="627"/>
      <c r="R4" s="627"/>
      <c r="S4" s="628"/>
      <c r="T4" s="135"/>
      <c r="V4" s="140"/>
    </row>
    <row r="5" spans="1:23" customFormat="1" ht="111" customHeight="1" x14ac:dyDescent="0.25">
      <c r="A5" s="316"/>
      <c r="B5" s="317"/>
      <c r="C5" s="317"/>
      <c r="D5" s="317"/>
      <c r="E5" s="317"/>
      <c r="F5" s="317"/>
      <c r="G5" s="317"/>
      <c r="H5" s="286" t="s">
        <v>1130</v>
      </c>
      <c r="I5" s="286" t="s">
        <v>1131</v>
      </c>
      <c r="J5" s="286" t="s">
        <v>163</v>
      </c>
      <c r="K5" s="286" t="s">
        <v>844</v>
      </c>
      <c r="L5" s="286" t="s">
        <v>1130</v>
      </c>
      <c r="M5" s="286" t="s">
        <v>1131</v>
      </c>
      <c r="N5" s="286" t="s">
        <v>163</v>
      </c>
      <c r="O5" s="286" t="s">
        <v>844</v>
      </c>
      <c r="P5" s="286" t="s">
        <v>1132</v>
      </c>
      <c r="Q5" s="286" t="s">
        <v>1133</v>
      </c>
      <c r="R5" s="286" t="s">
        <v>163</v>
      </c>
      <c r="S5" s="286" t="s">
        <v>844</v>
      </c>
      <c r="T5" s="135"/>
      <c r="V5" s="140"/>
      <c r="W5" s="28" t="str">
        <f>'Hide_me(drop_downs)'!I5</f>
        <v>Variance (2018/19 v. 2017/18 restated)</v>
      </c>
    </row>
    <row r="6" spans="1:23" customFormat="1" ht="18.399999999999999" customHeight="1" x14ac:dyDescent="0.25">
      <c r="A6" s="320"/>
      <c r="B6" s="321"/>
      <c r="C6" s="321"/>
      <c r="D6" s="321"/>
      <c r="E6" s="321"/>
      <c r="F6" s="321"/>
      <c r="G6" s="321"/>
      <c r="H6" s="322" t="s">
        <v>784</v>
      </c>
      <c r="I6" s="322" t="s">
        <v>784</v>
      </c>
      <c r="J6" s="322" t="s">
        <v>784</v>
      </c>
      <c r="K6" s="322" t="s">
        <v>784</v>
      </c>
      <c r="L6" s="322" t="s">
        <v>784</v>
      </c>
      <c r="M6" s="322" t="s">
        <v>784</v>
      </c>
      <c r="N6" s="322" t="s">
        <v>784</v>
      </c>
      <c r="O6" s="322" t="s">
        <v>784</v>
      </c>
      <c r="P6" s="322" t="s">
        <v>784</v>
      </c>
      <c r="Q6" s="322" t="s">
        <v>784</v>
      </c>
      <c r="R6" s="322" t="s">
        <v>784</v>
      </c>
      <c r="S6" s="322" t="s">
        <v>784</v>
      </c>
      <c r="T6" s="323" t="s">
        <v>193</v>
      </c>
      <c r="U6" s="140"/>
      <c r="V6" s="140"/>
      <c r="W6" s="144" t="s">
        <v>1134</v>
      </c>
    </row>
    <row r="7" spans="1:23" customFormat="1" ht="15.4" customHeight="1" x14ac:dyDescent="0.25">
      <c r="A7" s="324">
        <v>1</v>
      </c>
      <c r="B7" s="325" t="s">
        <v>1135</v>
      </c>
      <c r="C7" s="326"/>
      <c r="D7" s="326"/>
      <c r="E7" s="326"/>
      <c r="F7" s="327"/>
      <c r="G7" s="327"/>
      <c r="H7" s="328"/>
      <c r="I7" s="328"/>
      <c r="J7" s="328"/>
      <c r="K7" s="328"/>
      <c r="L7" s="328"/>
      <c r="M7" s="328"/>
      <c r="N7" s="328"/>
      <c r="O7" s="328"/>
      <c r="P7" s="328"/>
      <c r="Q7" s="328"/>
      <c r="R7" s="328"/>
      <c r="S7" s="328"/>
      <c r="T7" s="164" t="s">
        <v>1136</v>
      </c>
      <c r="U7" s="135" t="s">
        <v>784</v>
      </c>
      <c r="V7" s="135" t="s">
        <v>785</v>
      </c>
      <c r="W7" s="149" t="s">
        <v>786</v>
      </c>
    </row>
    <row r="8" spans="1:23" customFormat="1" ht="12.75" customHeight="1" x14ac:dyDescent="0.25">
      <c r="A8" s="324" t="s">
        <v>789</v>
      </c>
      <c r="B8" s="329"/>
      <c r="C8" s="330" t="str">
        <f>IF(Title_Page!B4="W","Home domicile students (Wales)",IF(Title_Page!B4="S","Home domicile students (Scotland)",IF(Title_Page!B4="N","Home domicile students (Northern Ireland)","Home domicile students")))</f>
        <v>Home domicile students (Scotland)</v>
      </c>
      <c r="D8" s="331"/>
      <c r="E8" s="331"/>
      <c r="F8" s="332"/>
      <c r="G8" s="332"/>
      <c r="H8" s="333"/>
      <c r="I8" s="333"/>
      <c r="J8" s="333"/>
      <c r="K8" s="333"/>
      <c r="L8" s="333"/>
      <c r="M8" s="333"/>
      <c r="N8" s="333"/>
      <c r="O8" s="333"/>
      <c r="P8" s="333"/>
      <c r="Q8" s="333"/>
      <c r="R8" s="333"/>
      <c r="S8" s="333"/>
      <c r="T8" s="135">
        <f>COUNTIF(T9:T71,"=ZERO")</f>
        <v>5</v>
      </c>
      <c r="U8" s="156" t="s">
        <v>193</v>
      </c>
      <c r="V8" s="156" t="s">
        <v>193</v>
      </c>
      <c r="W8" s="135" t="s">
        <v>788</v>
      </c>
    </row>
    <row r="9" spans="1:23" customFormat="1" ht="12.75" customHeight="1" x14ac:dyDescent="0.25">
      <c r="A9" s="324" t="s">
        <v>1137</v>
      </c>
      <c r="B9" s="334"/>
      <c r="C9" s="335"/>
      <c r="D9" s="336" t="s">
        <v>1138</v>
      </c>
      <c r="E9" s="335"/>
      <c r="F9" s="337"/>
      <c r="G9" s="337"/>
      <c r="H9" s="338">
        <v>13407</v>
      </c>
      <c r="I9" s="338">
        <v>3</v>
      </c>
      <c r="J9" s="338">
        <v>3538</v>
      </c>
      <c r="K9" s="339">
        <f t="shared" ref="K9:K15" si="0">SUM(H9:J9)</f>
        <v>16948</v>
      </c>
      <c r="L9" s="338">
        <v>13492</v>
      </c>
      <c r="M9" s="338">
        <v>8</v>
      </c>
      <c r="N9" s="338">
        <v>3516</v>
      </c>
      <c r="O9" s="339">
        <f t="shared" ref="O9:O15" si="1">SUM(L9:N9)</f>
        <v>17016</v>
      </c>
      <c r="P9" s="338">
        <v>13492</v>
      </c>
      <c r="Q9" s="338">
        <v>8</v>
      </c>
      <c r="R9" s="338">
        <v>3516</v>
      </c>
      <c r="S9" s="339">
        <f t="shared" ref="S9:S15" si="2">SUM(P9:R9)</f>
        <v>17016</v>
      </c>
      <c r="T9" s="164"/>
      <c r="U9" s="199">
        <f t="shared" ref="U9:U16" si="3">K9-O9</f>
        <v>-68</v>
      </c>
      <c r="V9" s="164">
        <f t="shared" ref="V9:V16" si="4">IF(AND(OR(K9=0,O9&lt;&gt;0),OR(O9=0,K9&lt;&gt;0)),IF((K9+O9+U9&lt;&gt;0),IF(AND(OR(K9&gt;0,O9&lt;0),OR(O9&gt;0,K9&lt;0)),ABS(U9/MIN(ABS(O9),ABS(K9))),10),"-"),10)</f>
        <v>4.0122728345527497E-3</v>
      </c>
      <c r="W9" s="167"/>
    </row>
    <row r="10" spans="1:23" customFormat="1" ht="12.75" customHeight="1" x14ac:dyDescent="0.25">
      <c r="A10" s="324" t="s">
        <v>1139</v>
      </c>
      <c r="B10" s="334"/>
      <c r="C10" s="335"/>
      <c r="D10" s="336" t="s">
        <v>1140</v>
      </c>
      <c r="E10" s="335"/>
      <c r="F10" s="337"/>
      <c r="G10" s="337"/>
      <c r="H10" s="338">
        <v>0</v>
      </c>
      <c r="I10" s="338">
        <v>0</v>
      </c>
      <c r="J10" s="338">
        <v>0</v>
      </c>
      <c r="K10" s="339">
        <f t="shared" si="0"/>
        <v>0</v>
      </c>
      <c r="L10" s="338">
        <v>0</v>
      </c>
      <c r="M10" s="338">
        <v>0</v>
      </c>
      <c r="N10" s="338">
        <v>0</v>
      </c>
      <c r="O10" s="339">
        <f t="shared" si="1"/>
        <v>0</v>
      </c>
      <c r="P10" s="338">
        <v>0</v>
      </c>
      <c r="Q10" s="338">
        <v>0</v>
      </c>
      <c r="R10" s="338">
        <v>0</v>
      </c>
      <c r="S10" s="339">
        <f t="shared" si="2"/>
        <v>0</v>
      </c>
      <c r="T10" s="164"/>
      <c r="U10" s="199">
        <f t="shared" si="3"/>
        <v>0</v>
      </c>
      <c r="V10" s="164" t="str">
        <f t="shared" si="4"/>
        <v>-</v>
      </c>
      <c r="W10" s="167"/>
    </row>
    <row r="11" spans="1:23" customFormat="1" ht="12.75" customHeight="1" x14ac:dyDescent="0.25">
      <c r="A11" s="324" t="s">
        <v>1141</v>
      </c>
      <c r="B11" s="334"/>
      <c r="C11" s="335"/>
      <c r="D11" s="336" t="s">
        <v>1142</v>
      </c>
      <c r="E11" s="335"/>
      <c r="F11" s="337"/>
      <c r="G11" s="337"/>
      <c r="H11" s="338">
        <v>1779</v>
      </c>
      <c r="I11" s="338">
        <v>21</v>
      </c>
      <c r="J11" s="338">
        <v>6280</v>
      </c>
      <c r="K11" s="339">
        <f t="shared" si="0"/>
        <v>8080</v>
      </c>
      <c r="L11" s="338">
        <v>1481</v>
      </c>
      <c r="M11" s="338">
        <v>33</v>
      </c>
      <c r="N11" s="338">
        <v>6543</v>
      </c>
      <c r="O11" s="339">
        <f t="shared" si="1"/>
        <v>8057</v>
      </c>
      <c r="P11" s="338">
        <v>1481</v>
      </c>
      <c r="Q11" s="338">
        <v>33</v>
      </c>
      <c r="R11" s="338">
        <v>6543</v>
      </c>
      <c r="S11" s="339">
        <f t="shared" si="2"/>
        <v>8057</v>
      </c>
      <c r="T11" s="164"/>
      <c r="U11" s="199">
        <f t="shared" si="3"/>
        <v>23</v>
      </c>
      <c r="V11" s="164">
        <f t="shared" si="4"/>
        <v>2.8546605436266599E-3</v>
      </c>
      <c r="W11" s="167"/>
    </row>
    <row r="12" spans="1:23" customFormat="1" ht="12.75" customHeight="1" x14ac:dyDescent="0.25">
      <c r="A12" s="324" t="s">
        <v>1143</v>
      </c>
      <c r="B12" s="334"/>
      <c r="C12" s="335"/>
      <c r="D12" s="336" t="s">
        <v>1144</v>
      </c>
      <c r="E12" s="335"/>
      <c r="F12" s="337"/>
      <c r="G12" s="337"/>
      <c r="H12" s="338">
        <v>55</v>
      </c>
      <c r="I12" s="338">
        <v>81</v>
      </c>
      <c r="J12" s="338">
        <v>4673</v>
      </c>
      <c r="K12" s="339">
        <f t="shared" si="0"/>
        <v>4809</v>
      </c>
      <c r="L12" s="338">
        <v>0</v>
      </c>
      <c r="M12" s="338">
        <v>58</v>
      </c>
      <c r="N12" s="338">
        <v>4938</v>
      </c>
      <c r="O12" s="339">
        <f t="shared" si="1"/>
        <v>4996</v>
      </c>
      <c r="P12" s="338">
        <v>0</v>
      </c>
      <c r="Q12" s="338">
        <v>58</v>
      </c>
      <c r="R12" s="338">
        <v>4938</v>
      </c>
      <c r="S12" s="339">
        <f t="shared" si="2"/>
        <v>4996</v>
      </c>
      <c r="T12" s="164"/>
      <c r="U12" s="199">
        <f t="shared" si="3"/>
        <v>-187</v>
      </c>
      <c r="V12" s="164">
        <f t="shared" si="4"/>
        <v>3.8885423164899145E-2</v>
      </c>
      <c r="W12" s="167"/>
    </row>
    <row r="13" spans="1:23" customFormat="1" ht="12.75" customHeight="1" x14ac:dyDescent="0.25">
      <c r="A13" s="324" t="s">
        <v>1145</v>
      </c>
      <c r="B13" s="334"/>
      <c r="C13" s="335"/>
      <c r="D13" s="336" t="s">
        <v>1146</v>
      </c>
      <c r="E13" s="335"/>
      <c r="F13" s="337"/>
      <c r="G13" s="337"/>
      <c r="H13" s="338">
        <v>309</v>
      </c>
      <c r="I13" s="338">
        <v>3</v>
      </c>
      <c r="J13" s="338">
        <v>24</v>
      </c>
      <c r="K13" s="339">
        <f t="shared" si="0"/>
        <v>336</v>
      </c>
      <c r="L13" s="338">
        <v>187</v>
      </c>
      <c r="M13" s="338">
        <v>0</v>
      </c>
      <c r="N13" s="338">
        <v>30</v>
      </c>
      <c r="O13" s="339">
        <f t="shared" si="1"/>
        <v>217</v>
      </c>
      <c r="P13" s="338">
        <v>187</v>
      </c>
      <c r="Q13" s="338">
        <v>0</v>
      </c>
      <c r="R13" s="338">
        <v>30</v>
      </c>
      <c r="S13" s="339">
        <f t="shared" si="2"/>
        <v>217</v>
      </c>
      <c r="T13" s="164"/>
      <c r="U13" s="199">
        <f t="shared" si="3"/>
        <v>119</v>
      </c>
      <c r="V13" s="164">
        <f t="shared" si="4"/>
        <v>0.54838709677419351</v>
      </c>
      <c r="W13" s="167"/>
    </row>
    <row r="14" spans="1:23" customFormat="1" ht="12.75" customHeight="1" x14ac:dyDescent="0.25">
      <c r="A14" s="324" t="s">
        <v>1147</v>
      </c>
      <c r="B14" s="334"/>
      <c r="C14" s="335"/>
      <c r="D14" s="336" t="s">
        <v>1148</v>
      </c>
      <c r="E14" s="335"/>
      <c r="F14" s="337"/>
      <c r="G14" s="337"/>
      <c r="H14" s="338">
        <v>234</v>
      </c>
      <c r="I14" s="338">
        <v>178</v>
      </c>
      <c r="J14" s="338">
        <v>10570</v>
      </c>
      <c r="K14" s="339">
        <f t="shared" si="0"/>
        <v>10982</v>
      </c>
      <c r="L14" s="338">
        <v>120</v>
      </c>
      <c r="M14" s="338">
        <v>0</v>
      </c>
      <c r="N14" s="338">
        <v>8660</v>
      </c>
      <c r="O14" s="339">
        <f t="shared" si="1"/>
        <v>8780</v>
      </c>
      <c r="P14" s="338">
        <v>120</v>
      </c>
      <c r="Q14" s="338">
        <v>0</v>
      </c>
      <c r="R14" s="338">
        <v>8660</v>
      </c>
      <c r="S14" s="339">
        <f t="shared" si="2"/>
        <v>8780</v>
      </c>
      <c r="T14" s="164"/>
      <c r="U14" s="199">
        <f t="shared" si="3"/>
        <v>2202</v>
      </c>
      <c r="V14" s="164">
        <f t="shared" si="4"/>
        <v>0.25079726651480638</v>
      </c>
      <c r="W14" s="167"/>
    </row>
    <row r="15" spans="1:23" customFormat="1" ht="12.75" customHeight="1" x14ac:dyDescent="0.25">
      <c r="A15" s="324" t="s">
        <v>1149</v>
      </c>
      <c r="B15" s="334"/>
      <c r="C15" s="335"/>
      <c r="D15" s="336" t="s">
        <v>1150</v>
      </c>
      <c r="E15" s="335"/>
      <c r="F15" s="337"/>
      <c r="G15" s="337"/>
      <c r="H15" s="338">
        <v>0</v>
      </c>
      <c r="I15" s="338">
        <v>15</v>
      </c>
      <c r="J15" s="338">
        <v>768</v>
      </c>
      <c r="K15" s="339">
        <f t="shared" si="0"/>
        <v>783</v>
      </c>
      <c r="L15" s="338">
        <v>0</v>
      </c>
      <c r="M15" s="338">
        <v>19</v>
      </c>
      <c r="N15" s="338">
        <v>736</v>
      </c>
      <c r="O15" s="339">
        <f t="shared" si="1"/>
        <v>755</v>
      </c>
      <c r="P15" s="338">
        <v>0</v>
      </c>
      <c r="Q15" s="338">
        <v>19</v>
      </c>
      <c r="R15" s="338">
        <v>736</v>
      </c>
      <c r="S15" s="339">
        <f t="shared" si="2"/>
        <v>755</v>
      </c>
      <c r="T15" s="164"/>
      <c r="U15" s="199">
        <f t="shared" si="3"/>
        <v>28</v>
      </c>
      <c r="V15" s="164">
        <f t="shared" si="4"/>
        <v>3.7086092715231792E-2</v>
      </c>
      <c r="W15" s="167"/>
    </row>
    <row r="16" spans="1:23" customFormat="1" ht="12.75" customHeight="1" x14ac:dyDescent="0.25">
      <c r="A16" s="324" t="s">
        <v>1151</v>
      </c>
      <c r="B16" s="340"/>
      <c r="C16" s="341" t="s">
        <v>1152</v>
      </c>
      <c r="D16" s="342"/>
      <c r="E16" s="342"/>
      <c r="F16" s="343"/>
      <c r="G16" s="343"/>
      <c r="H16" s="344">
        <f t="shared" ref="H16:S16" si="5">SUM(H9:H15)</f>
        <v>15784</v>
      </c>
      <c r="I16" s="344">
        <f t="shared" si="5"/>
        <v>301</v>
      </c>
      <c r="J16" s="344">
        <f t="shared" si="5"/>
        <v>25853</v>
      </c>
      <c r="K16" s="344">
        <f t="shared" si="5"/>
        <v>41938</v>
      </c>
      <c r="L16" s="344">
        <f t="shared" si="5"/>
        <v>15280</v>
      </c>
      <c r="M16" s="344">
        <f t="shared" si="5"/>
        <v>118</v>
      </c>
      <c r="N16" s="344">
        <f t="shared" si="5"/>
        <v>24423</v>
      </c>
      <c r="O16" s="344">
        <f t="shared" si="5"/>
        <v>39821</v>
      </c>
      <c r="P16" s="344">
        <f t="shared" si="5"/>
        <v>15280</v>
      </c>
      <c r="Q16" s="344">
        <f t="shared" si="5"/>
        <v>118</v>
      </c>
      <c r="R16" s="344">
        <f t="shared" si="5"/>
        <v>24423</v>
      </c>
      <c r="S16" s="344">
        <f t="shared" si="5"/>
        <v>39821</v>
      </c>
      <c r="T16" s="164"/>
      <c r="U16" s="199">
        <f t="shared" si="3"/>
        <v>2117</v>
      </c>
      <c r="V16" s="164">
        <f t="shared" si="4"/>
        <v>5.3162903995379325E-2</v>
      </c>
      <c r="W16" s="173"/>
    </row>
    <row r="17" spans="1:23" customFormat="1" ht="12.75" customHeight="1" x14ac:dyDescent="0.25">
      <c r="A17" s="324" t="s">
        <v>791</v>
      </c>
      <c r="B17" s="329"/>
      <c r="C17" s="330" t="str">
        <f>IF(Title_Page!B4="W","Rest of UK domicile students (England, Northern Ireland, Scotland)",IF(Title_Page!B4="S","Rest of UK domicile students (England, Northern Ireland, Wales)",IF(Title_Page!B4="N","Rest of UK domicile students (England, Scotland, Wales)","Rest of UK domicile students")))</f>
        <v>Rest of UK domicile students (England, Northern Ireland, Wales)</v>
      </c>
      <c r="D17" s="331"/>
      <c r="E17" s="331"/>
      <c r="F17" s="332"/>
      <c r="G17" s="332"/>
      <c r="H17" s="345"/>
      <c r="I17" s="345"/>
      <c r="J17" s="345"/>
      <c r="K17" s="345"/>
      <c r="L17" s="345"/>
      <c r="M17" s="345"/>
      <c r="N17" s="345"/>
      <c r="O17" s="345"/>
      <c r="P17" s="345"/>
      <c r="Q17" s="345"/>
      <c r="R17" s="345"/>
      <c r="S17" s="345"/>
      <c r="T17" s="164"/>
    </row>
    <row r="18" spans="1:23" customFormat="1" ht="12.75" customHeight="1" x14ac:dyDescent="0.25">
      <c r="A18" s="324" t="s">
        <v>1137</v>
      </c>
      <c r="B18" s="334"/>
      <c r="C18" s="335"/>
      <c r="D18" s="336" t="s">
        <v>1138</v>
      </c>
      <c r="E18" s="335"/>
      <c r="F18" s="337"/>
      <c r="G18" s="337"/>
      <c r="H18" s="338">
        <v>51537</v>
      </c>
      <c r="I18" s="338">
        <v>1152</v>
      </c>
      <c r="J18" s="338">
        <v>12328</v>
      </c>
      <c r="K18" s="339">
        <f t="shared" ref="K18:K24" si="6">SUM(H18:J18)</f>
        <v>65017</v>
      </c>
      <c r="L18" s="338">
        <v>50131</v>
      </c>
      <c r="M18" s="338">
        <v>1044</v>
      </c>
      <c r="N18" s="338">
        <v>10161</v>
      </c>
      <c r="O18" s="339">
        <f t="shared" ref="O18:O24" si="7">SUM(L18:N18)</f>
        <v>61336</v>
      </c>
      <c r="P18" s="338">
        <v>50131</v>
      </c>
      <c r="Q18" s="338">
        <v>1044</v>
      </c>
      <c r="R18" s="338">
        <v>10161</v>
      </c>
      <c r="S18" s="339">
        <f t="shared" ref="S18:S24" si="8">SUM(P18:R18)</f>
        <v>61336</v>
      </c>
      <c r="T18" s="164"/>
      <c r="U18" s="199">
        <f t="shared" ref="U18:U25" si="9">K18-O18</f>
        <v>3681</v>
      </c>
      <c r="V18" s="164">
        <f t="shared" ref="V18:V25" si="10">IF(AND(OR(K18=0,O18&lt;&gt;0),OR(O18=0,K18&lt;&gt;0)),IF((K18+O18+U18&lt;&gt;0),IF(AND(OR(K18&gt;0,O18&lt;0),OR(O18&gt;0,K18&lt;0)),ABS(U18/MIN(ABS(O18),ABS(K18))),10),"-"),10)</f>
        <v>6.0013695056736663E-2</v>
      </c>
      <c r="W18" s="167"/>
    </row>
    <row r="19" spans="1:23" customFormat="1" ht="12.75" customHeight="1" x14ac:dyDescent="0.25">
      <c r="A19" s="324" t="s">
        <v>1139</v>
      </c>
      <c r="B19" s="334"/>
      <c r="C19" s="335"/>
      <c r="D19" s="336" t="s">
        <v>1140</v>
      </c>
      <c r="E19" s="335"/>
      <c r="F19" s="337"/>
      <c r="G19" s="337"/>
      <c r="H19" s="338">
        <v>0</v>
      </c>
      <c r="I19" s="338">
        <v>0</v>
      </c>
      <c r="J19" s="338">
        <v>0</v>
      </c>
      <c r="K19" s="339">
        <f t="shared" si="6"/>
        <v>0</v>
      </c>
      <c r="L19" s="338">
        <v>0</v>
      </c>
      <c r="M19" s="338">
        <v>0</v>
      </c>
      <c r="N19" s="338">
        <v>0</v>
      </c>
      <c r="O19" s="339">
        <f t="shared" si="7"/>
        <v>0</v>
      </c>
      <c r="P19" s="338">
        <v>0</v>
      </c>
      <c r="Q19" s="338">
        <v>0</v>
      </c>
      <c r="R19" s="338">
        <v>0</v>
      </c>
      <c r="S19" s="339">
        <f t="shared" si="8"/>
        <v>0</v>
      </c>
      <c r="T19" s="164"/>
      <c r="U19" s="199">
        <f t="shared" si="9"/>
        <v>0</v>
      </c>
      <c r="V19" s="164" t="str">
        <f t="shared" si="10"/>
        <v>-</v>
      </c>
      <c r="W19" s="167"/>
    </row>
    <row r="20" spans="1:23" customFormat="1" ht="12.75" customHeight="1" x14ac:dyDescent="0.25">
      <c r="A20" s="324" t="s">
        <v>1141</v>
      </c>
      <c r="B20" s="334"/>
      <c r="C20" s="335"/>
      <c r="D20" s="336" t="s">
        <v>1142</v>
      </c>
      <c r="E20" s="335"/>
      <c r="F20" s="337"/>
      <c r="G20" s="337"/>
      <c r="H20" s="338">
        <v>0</v>
      </c>
      <c r="I20" s="338">
        <v>0</v>
      </c>
      <c r="J20" s="338">
        <v>0</v>
      </c>
      <c r="K20" s="339">
        <f t="shared" si="6"/>
        <v>0</v>
      </c>
      <c r="L20" s="338">
        <v>0</v>
      </c>
      <c r="M20" s="338">
        <v>0</v>
      </c>
      <c r="N20" s="338">
        <v>0</v>
      </c>
      <c r="O20" s="339">
        <f t="shared" si="7"/>
        <v>0</v>
      </c>
      <c r="P20" s="338">
        <v>0</v>
      </c>
      <c r="Q20" s="338">
        <v>0</v>
      </c>
      <c r="R20" s="338">
        <v>0</v>
      </c>
      <c r="S20" s="339">
        <f t="shared" si="8"/>
        <v>0</v>
      </c>
      <c r="T20" s="164"/>
      <c r="U20" s="199">
        <f t="shared" si="9"/>
        <v>0</v>
      </c>
      <c r="V20" s="164" t="str">
        <f t="shared" si="10"/>
        <v>-</v>
      </c>
      <c r="W20" s="167"/>
    </row>
    <row r="21" spans="1:23" customFormat="1" ht="12.75" customHeight="1" x14ac:dyDescent="0.25">
      <c r="A21" s="324" t="s">
        <v>1143</v>
      </c>
      <c r="B21" s="334"/>
      <c r="C21" s="335"/>
      <c r="D21" s="336" t="s">
        <v>1144</v>
      </c>
      <c r="E21" s="335"/>
      <c r="F21" s="337"/>
      <c r="G21" s="337"/>
      <c r="H21" s="338">
        <v>0</v>
      </c>
      <c r="I21" s="338">
        <v>0</v>
      </c>
      <c r="J21" s="338">
        <v>0</v>
      </c>
      <c r="K21" s="339">
        <f t="shared" si="6"/>
        <v>0</v>
      </c>
      <c r="L21" s="338">
        <v>0</v>
      </c>
      <c r="M21" s="338">
        <v>0</v>
      </c>
      <c r="N21" s="338">
        <v>0</v>
      </c>
      <c r="O21" s="339">
        <f t="shared" si="7"/>
        <v>0</v>
      </c>
      <c r="P21" s="338">
        <v>0</v>
      </c>
      <c r="Q21" s="338">
        <v>0</v>
      </c>
      <c r="R21" s="338">
        <v>0</v>
      </c>
      <c r="S21" s="339">
        <f t="shared" si="8"/>
        <v>0</v>
      </c>
      <c r="T21" s="164"/>
      <c r="U21" s="199">
        <f t="shared" si="9"/>
        <v>0</v>
      </c>
      <c r="V21" s="164" t="str">
        <f t="shared" si="10"/>
        <v>-</v>
      </c>
      <c r="W21" s="167"/>
    </row>
    <row r="22" spans="1:23" customFormat="1" ht="12.75" customHeight="1" x14ac:dyDescent="0.25">
      <c r="A22" s="324" t="s">
        <v>1145</v>
      </c>
      <c r="B22" s="334"/>
      <c r="C22" s="335"/>
      <c r="D22" s="336" t="s">
        <v>1146</v>
      </c>
      <c r="E22" s="335"/>
      <c r="F22" s="337"/>
      <c r="G22" s="337"/>
      <c r="H22" s="338">
        <v>0</v>
      </c>
      <c r="I22" s="338">
        <v>0</v>
      </c>
      <c r="J22" s="338">
        <v>0</v>
      </c>
      <c r="K22" s="339">
        <f t="shared" si="6"/>
        <v>0</v>
      </c>
      <c r="L22" s="338">
        <v>0</v>
      </c>
      <c r="M22" s="338">
        <v>0</v>
      </c>
      <c r="N22" s="338">
        <v>0</v>
      </c>
      <c r="O22" s="339">
        <f t="shared" si="7"/>
        <v>0</v>
      </c>
      <c r="P22" s="338">
        <v>0</v>
      </c>
      <c r="Q22" s="338">
        <v>0</v>
      </c>
      <c r="R22" s="338">
        <v>0</v>
      </c>
      <c r="S22" s="339">
        <f t="shared" si="8"/>
        <v>0</v>
      </c>
      <c r="T22" s="164"/>
      <c r="U22" s="199">
        <f t="shared" si="9"/>
        <v>0</v>
      </c>
      <c r="V22" s="164" t="str">
        <f t="shared" si="10"/>
        <v>-</v>
      </c>
      <c r="W22" s="167"/>
    </row>
    <row r="23" spans="1:23" customFormat="1" ht="12.75" customHeight="1" x14ac:dyDescent="0.25">
      <c r="A23" s="324" t="s">
        <v>1147</v>
      </c>
      <c r="B23" s="334"/>
      <c r="C23" s="335"/>
      <c r="D23" s="336" t="s">
        <v>1148</v>
      </c>
      <c r="E23" s="335"/>
      <c r="F23" s="337"/>
      <c r="G23" s="337"/>
      <c r="H23" s="338">
        <v>0</v>
      </c>
      <c r="I23" s="338">
        <v>0</v>
      </c>
      <c r="J23" s="338">
        <v>0</v>
      </c>
      <c r="K23" s="339">
        <f t="shared" si="6"/>
        <v>0</v>
      </c>
      <c r="L23" s="338">
        <v>0</v>
      </c>
      <c r="M23" s="338">
        <v>0</v>
      </c>
      <c r="N23" s="338">
        <v>0</v>
      </c>
      <c r="O23" s="339">
        <f t="shared" si="7"/>
        <v>0</v>
      </c>
      <c r="P23" s="338">
        <v>0</v>
      </c>
      <c r="Q23" s="338">
        <v>0</v>
      </c>
      <c r="R23" s="338">
        <v>0</v>
      </c>
      <c r="S23" s="339">
        <f t="shared" si="8"/>
        <v>0</v>
      </c>
      <c r="T23" s="164"/>
      <c r="U23" s="199">
        <f t="shared" si="9"/>
        <v>0</v>
      </c>
      <c r="V23" s="164" t="str">
        <f t="shared" si="10"/>
        <v>-</v>
      </c>
      <c r="W23" s="167"/>
    </row>
    <row r="24" spans="1:23" customFormat="1" ht="12.75" customHeight="1" x14ac:dyDescent="0.25">
      <c r="A24" s="324" t="s">
        <v>1149</v>
      </c>
      <c r="B24" s="334"/>
      <c r="C24" s="335"/>
      <c r="D24" s="336" t="s">
        <v>1150</v>
      </c>
      <c r="E24" s="335"/>
      <c r="F24" s="337"/>
      <c r="G24" s="337"/>
      <c r="H24" s="338">
        <v>0</v>
      </c>
      <c r="I24" s="338">
        <v>0</v>
      </c>
      <c r="J24" s="338">
        <v>0</v>
      </c>
      <c r="K24" s="339">
        <f t="shared" si="6"/>
        <v>0</v>
      </c>
      <c r="L24" s="338">
        <v>0</v>
      </c>
      <c r="M24" s="338">
        <v>0</v>
      </c>
      <c r="N24" s="338">
        <v>0</v>
      </c>
      <c r="O24" s="339">
        <f t="shared" si="7"/>
        <v>0</v>
      </c>
      <c r="P24" s="338">
        <v>0</v>
      </c>
      <c r="Q24" s="338">
        <v>0</v>
      </c>
      <c r="R24" s="338">
        <v>0</v>
      </c>
      <c r="S24" s="339">
        <f t="shared" si="8"/>
        <v>0</v>
      </c>
      <c r="T24" s="164"/>
      <c r="U24" s="199">
        <f t="shared" si="9"/>
        <v>0</v>
      </c>
      <c r="V24" s="164" t="str">
        <f t="shared" si="10"/>
        <v>-</v>
      </c>
      <c r="W24" s="167"/>
    </row>
    <row r="25" spans="1:23" customFormat="1" ht="12.75" customHeight="1" x14ac:dyDescent="0.25">
      <c r="A25" s="324" t="s">
        <v>1151</v>
      </c>
      <c r="B25" s="340"/>
      <c r="C25" s="341" t="s">
        <v>1153</v>
      </c>
      <c r="D25" s="342"/>
      <c r="E25" s="342"/>
      <c r="F25" s="343"/>
      <c r="G25" s="343"/>
      <c r="H25" s="344">
        <f t="shared" ref="H25:S25" si="11">SUM(H18:H24)</f>
        <v>51537</v>
      </c>
      <c r="I25" s="344">
        <f t="shared" si="11"/>
        <v>1152</v>
      </c>
      <c r="J25" s="344">
        <f t="shared" si="11"/>
        <v>12328</v>
      </c>
      <c r="K25" s="344">
        <f t="shared" si="11"/>
        <v>65017</v>
      </c>
      <c r="L25" s="344">
        <f t="shared" si="11"/>
        <v>50131</v>
      </c>
      <c r="M25" s="344">
        <f t="shared" si="11"/>
        <v>1044</v>
      </c>
      <c r="N25" s="344">
        <f t="shared" si="11"/>
        <v>10161</v>
      </c>
      <c r="O25" s="344">
        <f t="shared" si="11"/>
        <v>61336</v>
      </c>
      <c r="P25" s="344">
        <f t="shared" si="11"/>
        <v>50131</v>
      </c>
      <c r="Q25" s="344">
        <f t="shared" si="11"/>
        <v>1044</v>
      </c>
      <c r="R25" s="344">
        <f t="shared" si="11"/>
        <v>10161</v>
      </c>
      <c r="S25" s="344">
        <f t="shared" si="11"/>
        <v>61336</v>
      </c>
      <c r="T25" s="164"/>
      <c r="U25" s="199">
        <f t="shared" si="9"/>
        <v>3681</v>
      </c>
      <c r="V25" s="164">
        <f t="shared" si="10"/>
        <v>6.0013695056736663E-2</v>
      </c>
      <c r="W25" s="173"/>
    </row>
    <row r="26" spans="1:23" customFormat="1" ht="12.75" customHeight="1" x14ac:dyDescent="0.25">
      <c r="A26" s="324" t="s">
        <v>793</v>
      </c>
      <c r="B26" s="329"/>
      <c r="C26" s="330" t="s">
        <v>1154</v>
      </c>
      <c r="D26" s="331"/>
      <c r="E26" s="331"/>
      <c r="F26" s="332"/>
      <c r="G26" s="332"/>
      <c r="H26" s="345"/>
      <c r="I26" s="345"/>
      <c r="J26" s="345"/>
      <c r="K26" s="345"/>
      <c r="L26" s="345"/>
      <c r="M26" s="345"/>
      <c r="N26" s="345"/>
      <c r="O26" s="345"/>
      <c r="P26" s="345"/>
      <c r="Q26" s="345"/>
      <c r="R26" s="345"/>
      <c r="S26" s="345"/>
      <c r="T26" s="164"/>
      <c r="U26" s="269"/>
    </row>
    <row r="27" spans="1:23" customFormat="1" ht="12.75" customHeight="1" x14ac:dyDescent="0.25">
      <c r="A27" s="324" t="s">
        <v>1137</v>
      </c>
      <c r="B27" s="334"/>
      <c r="C27" s="335"/>
      <c r="D27" s="336" t="s">
        <v>1138</v>
      </c>
      <c r="E27" s="335"/>
      <c r="F27" s="337"/>
      <c r="G27" s="337"/>
      <c r="H27" s="346">
        <f t="shared" ref="H27:J33" si="12">SUM(H9+H18)</f>
        <v>64944</v>
      </c>
      <c r="I27" s="346">
        <f t="shared" si="12"/>
        <v>1155</v>
      </c>
      <c r="J27" s="346">
        <f t="shared" si="12"/>
        <v>15866</v>
      </c>
      <c r="K27" s="347">
        <f t="shared" ref="K27:K33" si="13">SUM(H27:J27)</f>
        <v>81965</v>
      </c>
      <c r="L27" s="346">
        <f t="shared" ref="L27:N33" si="14">SUM(L9+L18)</f>
        <v>63623</v>
      </c>
      <c r="M27" s="346">
        <f t="shared" si="14"/>
        <v>1052</v>
      </c>
      <c r="N27" s="346">
        <f t="shared" si="14"/>
        <v>13677</v>
      </c>
      <c r="O27" s="347">
        <f t="shared" ref="O27:O33" si="15">SUM(L27:N27)</f>
        <v>78352</v>
      </c>
      <c r="P27" s="346">
        <f t="shared" ref="P27:R33" si="16">SUM(P9+P18)</f>
        <v>63623</v>
      </c>
      <c r="Q27" s="346">
        <f t="shared" si="16"/>
        <v>1052</v>
      </c>
      <c r="R27" s="346">
        <f t="shared" si="16"/>
        <v>13677</v>
      </c>
      <c r="S27" s="347">
        <f t="shared" ref="S27:S33" si="17">SUM(P27:R27)</f>
        <v>78352</v>
      </c>
      <c r="T27" s="348" t="str">
        <f t="shared" ref="T27:T33" si="18">IF(K27=0,"zero",RIGHT(K27,1))</f>
        <v>5</v>
      </c>
      <c r="U27" s="199">
        <f t="shared" ref="U27:U34" si="19">K27-O27</f>
        <v>3613</v>
      </c>
      <c r="V27" s="164">
        <f t="shared" ref="V27:V34" si="20">IF(AND(OR(K27=0,O27&lt;&gt;0),OR(O27=0,K27&lt;&gt;0)),IF((K27+O27+U27&lt;&gt;0),IF(AND(OR(K27&gt;0,O27&lt;0),OR(O27&gt;0,K27&lt;0)),ABS(U27/MIN(ABS(O27),ABS(K27))),10),"-"),10)</f>
        <v>4.6112415764753931E-2</v>
      </c>
      <c r="W27" s="186"/>
    </row>
    <row r="28" spans="1:23" customFormat="1" ht="12.75" customHeight="1" x14ac:dyDescent="0.25">
      <c r="A28" s="324" t="s">
        <v>1139</v>
      </c>
      <c r="B28" s="334"/>
      <c r="C28" s="335"/>
      <c r="D28" s="336" t="s">
        <v>1140</v>
      </c>
      <c r="E28" s="335"/>
      <c r="F28" s="337"/>
      <c r="G28" s="337"/>
      <c r="H28" s="346">
        <f t="shared" si="12"/>
        <v>0</v>
      </c>
      <c r="I28" s="346">
        <f t="shared" si="12"/>
        <v>0</v>
      </c>
      <c r="J28" s="346">
        <f t="shared" si="12"/>
        <v>0</v>
      </c>
      <c r="K28" s="347">
        <f t="shared" si="13"/>
        <v>0</v>
      </c>
      <c r="L28" s="346">
        <f t="shared" si="14"/>
        <v>0</v>
      </c>
      <c r="M28" s="346">
        <f t="shared" si="14"/>
        <v>0</v>
      </c>
      <c r="N28" s="346">
        <f t="shared" si="14"/>
        <v>0</v>
      </c>
      <c r="O28" s="347">
        <f t="shared" si="15"/>
        <v>0</v>
      </c>
      <c r="P28" s="346">
        <f t="shared" si="16"/>
        <v>0</v>
      </c>
      <c r="Q28" s="346">
        <f t="shared" si="16"/>
        <v>0</v>
      </c>
      <c r="R28" s="346">
        <f t="shared" si="16"/>
        <v>0</v>
      </c>
      <c r="S28" s="347">
        <f t="shared" si="17"/>
        <v>0</v>
      </c>
      <c r="T28" s="348" t="str">
        <f t="shared" si="18"/>
        <v>zero</v>
      </c>
      <c r="U28" s="199">
        <f t="shared" si="19"/>
        <v>0</v>
      </c>
      <c r="V28" s="164" t="str">
        <f t="shared" si="20"/>
        <v>-</v>
      </c>
      <c r="W28" s="186"/>
    </row>
    <row r="29" spans="1:23" customFormat="1" ht="12.75" customHeight="1" x14ac:dyDescent="0.25">
      <c r="A29" s="324" t="s">
        <v>1141</v>
      </c>
      <c r="B29" s="334"/>
      <c r="C29" s="335"/>
      <c r="D29" s="336" t="s">
        <v>1142</v>
      </c>
      <c r="E29" s="335"/>
      <c r="F29" s="337"/>
      <c r="G29" s="337"/>
      <c r="H29" s="346">
        <f t="shared" si="12"/>
        <v>1779</v>
      </c>
      <c r="I29" s="346">
        <f t="shared" si="12"/>
        <v>21</v>
      </c>
      <c r="J29" s="346">
        <f t="shared" si="12"/>
        <v>6280</v>
      </c>
      <c r="K29" s="347">
        <f t="shared" si="13"/>
        <v>8080</v>
      </c>
      <c r="L29" s="346">
        <f t="shared" si="14"/>
        <v>1481</v>
      </c>
      <c r="M29" s="346">
        <f t="shared" si="14"/>
        <v>33</v>
      </c>
      <c r="N29" s="346">
        <f t="shared" si="14"/>
        <v>6543</v>
      </c>
      <c r="O29" s="347">
        <f t="shared" si="15"/>
        <v>8057</v>
      </c>
      <c r="P29" s="346">
        <f t="shared" si="16"/>
        <v>1481</v>
      </c>
      <c r="Q29" s="346">
        <f t="shared" si="16"/>
        <v>33</v>
      </c>
      <c r="R29" s="346">
        <f t="shared" si="16"/>
        <v>6543</v>
      </c>
      <c r="S29" s="347">
        <f t="shared" si="17"/>
        <v>8057</v>
      </c>
      <c r="T29" s="348" t="str">
        <f t="shared" si="18"/>
        <v>0</v>
      </c>
      <c r="U29" s="199">
        <f t="shared" si="19"/>
        <v>23</v>
      </c>
      <c r="V29" s="164">
        <f t="shared" si="20"/>
        <v>2.8546605436266599E-3</v>
      </c>
      <c r="W29" s="186"/>
    </row>
    <row r="30" spans="1:23" customFormat="1" ht="12.75" customHeight="1" x14ac:dyDescent="0.25">
      <c r="A30" s="324" t="s">
        <v>1143</v>
      </c>
      <c r="B30" s="334"/>
      <c r="C30" s="335"/>
      <c r="D30" s="336" t="s">
        <v>1144</v>
      </c>
      <c r="E30" s="335"/>
      <c r="F30" s="337"/>
      <c r="G30" s="337"/>
      <c r="H30" s="346">
        <f t="shared" si="12"/>
        <v>55</v>
      </c>
      <c r="I30" s="346">
        <f t="shared" si="12"/>
        <v>81</v>
      </c>
      <c r="J30" s="346">
        <f t="shared" si="12"/>
        <v>4673</v>
      </c>
      <c r="K30" s="347">
        <f t="shared" si="13"/>
        <v>4809</v>
      </c>
      <c r="L30" s="346">
        <f t="shared" si="14"/>
        <v>0</v>
      </c>
      <c r="M30" s="346">
        <f t="shared" si="14"/>
        <v>58</v>
      </c>
      <c r="N30" s="346">
        <f t="shared" si="14"/>
        <v>4938</v>
      </c>
      <c r="O30" s="347">
        <f t="shared" si="15"/>
        <v>4996</v>
      </c>
      <c r="P30" s="346">
        <f t="shared" si="16"/>
        <v>0</v>
      </c>
      <c r="Q30" s="346">
        <f t="shared" si="16"/>
        <v>58</v>
      </c>
      <c r="R30" s="346">
        <f t="shared" si="16"/>
        <v>4938</v>
      </c>
      <c r="S30" s="347">
        <f t="shared" si="17"/>
        <v>4996</v>
      </c>
      <c r="T30" s="348" t="str">
        <f t="shared" si="18"/>
        <v>9</v>
      </c>
      <c r="U30" s="199">
        <f t="shared" si="19"/>
        <v>-187</v>
      </c>
      <c r="V30" s="164">
        <f t="shared" si="20"/>
        <v>3.8885423164899145E-2</v>
      </c>
      <c r="W30" s="186"/>
    </row>
    <row r="31" spans="1:23" customFormat="1" ht="12.75" customHeight="1" x14ac:dyDescent="0.25">
      <c r="A31" s="324" t="s">
        <v>1145</v>
      </c>
      <c r="B31" s="334"/>
      <c r="C31" s="335"/>
      <c r="D31" s="336" t="s">
        <v>1146</v>
      </c>
      <c r="E31" s="335"/>
      <c r="F31" s="337"/>
      <c r="G31" s="337"/>
      <c r="H31" s="346">
        <f t="shared" si="12"/>
        <v>309</v>
      </c>
      <c r="I31" s="346">
        <f t="shared" si="12"/>
        <v>3</v>
      </c>
      <c r="J31" s="346">
        <f t="shared" si="12"/>
        <v>24</v>
      </c>
      <c r="K31" s="347">
        <f t="shared" si="13"/>
        <v>336</v>
      </c>
      <c r="L31" s="346">
        <f t="shared" si="14"/>
        <v>187</v>
      </c>
      <c r="M31" s="346">
        <f t="shared" si="14"/>
        <v>0</v>
      </c>
      <c r="N31" s="346">
        <f t="shared" si="14"/>
        <v>30</v>
      </c>
      <c r="O31" s="347">
        <f t="shared" si="15"/>
        <v>217</v>
      </c>
      <c r="P31" s="346">
        <f t="shared" si="16"/>
        <v>187</v>
      </c>
      <c r="Q31" s="346">
        <f t="shared" si="16"/>
        <v>0</v>
      </c>
      <c r="R31" s="346">
        <f t="shared" si="16"/>
        <v>30</v>
      </c>
      <c r="S31" s="347">
        <f t="shared" si="17"/>
        <v>217</v>
      </c>
      <c r="T31" s="348" t="str">
        <f t="shared" si="18"/>
        <v>6</v>
      </c>
      <c r="U31" s="199">
        <f t="shared" si="19"/>
        <v>119</v>
      </c>
      <c r="V31" s="164">
        <f t="shared" si="20"/>
        <v>0.54838709677419351</v>
      </c>
      <c r="W31" s="186"/>
    </row>
    <row r="32" spans="1:23" customFormat="1" ht="12.75" customHeight="1" x14ac:dyDescent="0.25">
      <c r="A32" s="324" t="s">
        <v>1147</v>
      </c>
      <c r="B32" s="334"/>
      <c r="C32" s="335"/>
      <c r="D32" s="336" t="s">
        <v>1148</v>
      </c>
      <c r="E32" s="335"/>
      <c r="F32" s="337"/>
      <c r="G32" s="337"/>
      <c r="H32" s="346">
        <f t="shared" si="12"/>
        <v>234</v>
      </c>
      <c r="I32" s="346">
        <f t="shared" si="12"/>
        <v>178</v>
      </c>
      <c r="J32" s="346">
        <f t="shared" si="12"/>
        <v>10570</v>
      </c>
      <c r="K32" s="347">
        <f t="shared" si="13"/>
        <v>10982</v>
      </c>
      <c r="L32" s="346">
        <f t="shared" si="14"/>
        <v>120</v>
      </c>
      <c r="M32" s="346">
        <f t="shared" si="14"/>
        <v>0</v>
      </c>
      <c r="N32" s="346">
        <f t="shared" si="14"/>
        <v>8660</v>
      </c>
      <c r="O32" s="347">
        <f t="shared" si="15"/>
        <v>8780</v>
      </c>
      <c r="P32" s="346">
        <f t="shared" si="16"/>
        <v>120</v>
      </c>
      <c r="Q32" s="346">
        <f t="shared" si="16"/>
        <v>0</v>
      </c>
      <c r="R32" s="346">
        <f t="shared" si="16"/>
        <v>8660</v>
      </c>
      <c r="S32" s="347">
        <f t="shared" si="17"/>
        <v>8780</v>
      </c>
      <c r="T32" s="348" t="str">
        <f t="shared" si="18"/>
        <v>2</v>
      </c>
      <c r="U32" s="199">
        <f t="shared" si="19"/>
        <v>2202</v>
      </c>
      <c r="V32" s="164">
        <f t="shared" si="20"/>
        <v>0.25079726651480638</v>
      </c>
      <c r="W32" s="186"/>
    </row>
    <row r="33" spans="1:23" customFormat="1" ht="12.75" customHeight="1" x14ac:dyDescent="0.25">
      <c r="A33" s="324" t="s">
        <v>1149</v>
      </c>
      <c r="B33" s="334"/>
      <c r="C33" s="335"/>
      <c r="D33" s="336" t="s">
        <v>1150</v>
      </c>
      <c r="E33" s="335"/>
      <c r="F33" s="337"/>
      <c r="G33" s="337"/>
      <c r="H33" s="346">
        <f t="shared" si="12"/>
        <v>0</v>
      </c>
      <c r="I33" s="346">
        <f t="shared" si="12"/>
        <v>15</v>
      </c>
      <c r="J33" s="346">
        <f t="shared" si="12"/>
        <v>768</v>
      </c>
      <c r="K33" s="347">
        <f t="shared" si="13"/>
        <v>783</v>
      </c>
      <c r="L33" s="346">
        <f t="shared" si="14"/>
        <v>0</v>
      </c>
      <c r="M33" s="346">
        <f t="shared" si="14"/>
        <v>19</v>
      </c>
      <c r="N33" s="346">
        <f t="shared" si="14"/>
        <v>736</v>
      </c>
      <c r="O33" s="347">
        <f t="shared" si="15"/>
        <v>755</v>
      </c>
      <c r="P33" s="346">
        <f t="shared" si="16"/>
        <v>0</v>
      </c>
      <c r="Q33" s="346">
        <f t="shared" si="16"/>
        <v>19</v>
      </c>
      <c r="R33" s="346">
        <f t="shared" si="16"/>
        <v>736</v>
      </c>
      <c r="S33" s="347">
        <f t="shared" si="17"/>
        <v>755</v>
      </c>
      <c r="T33" s="348" t="str">
        <f t="shared" si="18"/>
        <v>3</v>
      </c>
      <c r="U33" s="199">
        <f t="shared" si="19"/>
        <v>28</v>
      </c>
      <c r="V33" s="164">
        <f t="shared" si="20"/>
        <v>3.7086092715231792E-2</v>
      </c>
      <c r="W33" s="186"/>
    </row>
    <row r="34" spans="1:23" customFormat="1" ht="12.75" customHeight="1" x14ac:dyDescent="0.25">
      <c r="A34" s="324" t="s">
        <v>1151</v>
      </c>
      <c r="B34" s="340"/>
      <c r="C34" s="341" t="s">
        <v>1155</v>
      </c>
      <c r="D34" s="342"/>
      <c r="E34" s="342"/>
      <c r="F34" s="343"/>
      <c r="G34" s="343"/>
      <c r="H34" s="349">
        <f t="shared" ref="H34:S34" si="21">SUM(H27:H33)</f>
        <v>67321</v>
      </c>
      <c r="I34" s="349">
        <f t="shared" si="21"/>
        <v>1453</v>
      </c>
      <c r="J34" s="349">
        <f t="shared" si="21"/>
        <v>38181</v>
      </c>
      <c r="K34" s="349">
        <f t="shared" si="21"/>
        <v>106955</v>
      </c>
      <c r="L34" s="349">
        <f t="shared" si="21"/>
        <v>65411</v>
      </c>
      <c r="M34" s="349">
        <f t="shared" si="21"/>
        <v>1162</v>
      </c>
      <c r="N34" s="349">
        <f t="shared" si="21"/>
        <v>34584</v>
      </c>
      <c r="O34" s="349">
        <f t="shared" si="21"/>
        <v>101157</v>
      </c>
      <c r="P34" s="349">
        <f t="shared" si="21"/>
        <v>65411</v>
      </c>
      <c r="Q34" s="349">
        <f t="shared" si="21"/>
        <v>1162</v>
      </c>
      <c r="R34" s="349">
        <f t="shared" si="21"/>
        <v>34584</v>
      </c>
      <c r="S34" s="349">
        <f t="shared" si="21"/>
        <v>101157</v>
      </c>
      <c r="T34" s="164"/>
      <c r="U34" s="199">
        <f t="shared" si="19"/>
        <v>5798</v>
      </c>
      <c r="V34" s="164">
        <f t="shared" si="20"/>
        <v>5.7316844113605582E-2</v>
      </c>
      <c r="W34" s="186"/>
    </row>
    <row r="35" spans="1:23" customFormat="1" ht="12.75" customHeight="1" x14ac:dyDescent="0.25">
      <c r="A35" s="324"/>
      <c r="B35" s="350"/>
      <c r="C35" s="351"/>
      <c r="D35" s="352"/>
      <c r="E35" s="352"/>
      <c r="F35" s="353"/>
      <c r="G35" s="353"/>
      <c r="H35" s="354"/>
      <c r="I35" s="354"/>
      <c r="J35" s="354"/>
      <c r="K35" s="354"/>
      <c r="L35" s="354"/>
      <c r="M35" s="354"/>
      <c r="N35" s="354"/>
      <c r="O35" s="354"/>
      <c r="P35" s="354"/>
      <c r="Q35" s="354"/>
      <c r="R35" s="354"/>
      <c r="S35" s="354"/>
      <c r="T35" s="164"/>
    </row>
    <row r="36" spans="1:23" customFormat="1" ht="12.75" customHeight="1" x14ac:dyDescent="0.25">
      <c r="A36" s="324" t="s">
        <v>795</v>
      </c>
      <c r="B36" s="355"/>
      <c r="C36" s="356" t="s">
        <v>1156</v>
      </c>
      <c r="D36" s="357"/>
      <c r="E36" s="357"/>
      <c r="F36" s="358"/>
      <c r="G36" s="358"/>
      <c r="H36" s="359"/>
      <c r="I36" s="359"/>
      <c r="J36" s="359"/>
      <c r="K36" s="359"/>
      <c r="L36" s="359"/>
      <c r="M36" s="359"/>
      <c r="N36" s="359"/>
      <c r="O36" s="359"/>
      <c r="P36" s="359"/>
      <c r="Q36" s="359"/>
      <c r="R36" s="359"/>
      <c r="S36" s="359"/>
      <c r="T36" s="164"/>
    </row>
    <row r="37" spans="1:23" customFormat="1" ht="12.75" customHeight="1" x14ac:dyDescent="0.25">
      <c r="A37" s="324" t="s">
        <v>1137</v>
      </c>
      <c r="B37" s="334"/>
      <c r="C37" s="335"/>
      <c r="D37" s="336" t="s">
        <v>1138</v>
      </c>
      <c r="E37" s="335"/>
      <c r="F37" s="337"/>
      <c r="G37" s="337"/>
      <c r="H37" s="360">
        <v>4249</v>
      </c>
      <c r="I37" s="360">
        <v>7</v>
      </c>
      <c r="J37" s="360">
        <v>799</v>
      </c>
      <c r="K37" s="361">
        <f t="shared" ref="K37:K43" si="22">SUM(H37:J37)</f>
        <v>5055</v>
      </c>
      <c r="L37" s="360">
        <v>3996</v>
      </c>
      <c r="M37" s="360">
        <v>8</v>
      </c>
      <c r="N37" s="360">
        <v>557</v>
      </c>
      <c r="O37" s="361">
        <f t="shared" ref="O37:O43" si="23">SUM(L37:N37)</f>
        <v>4561</v>
      </c>
      <c r="P37" s="360">
        <v>3996</v>
      </c>
      <c r="Q37" s="360">
        <v>8</v>
      </c>
      <c r="R37" s="360">
        <v>557</v>
      </c>
      <c r="S37" s="361">
        <f t="shared" ref="S37:S43" si="24">SUM(P37:R37)</f>
        <v>4561</v>
      </c>
      <c r="T37" s="348" t="str">
        <f t="shared" ref="T37:T43" si="25">IF(K37=0,"zero",RIGHT(K37,1))</f>
        <v>5</v>
      </c>
      <c r="U37" s="199">
        <f t="shared" ref="U37:U44" si="26">K37-O37</f>
        <v>494</v>
      </c>
      <c r="V37" s="164">
        <f t="shared" ref="V37:V44" si="27">IF(AND(OR(K37=0,O37&lt;&gt;0),OR(O37=0,K37&lt;&gt;0)),IF((K37+O37+U37&lt;&gt;0),IF(AND(OR(K37&gt;0,O37&lt;0),OR(O37&gt;0,K37&lt;0)),ABS(U37/MIN(ABS(O37),ABS(K37))),10),"-"),10)</f>
        <v>0.10830958123218593</v>
      </c>
      <c r="W37" s="167"/>
    </row>
    <row r="38" spans="1:23" customFormat="1" ht="12.75" customHeight="1" x14ac:dyDescent="0.25">
      <c r="A38" s="324" t="s">
        <v>1139</v>
      </c>
      <c r="B38" s="334"/>
      <c r="C38" s="335"/>
      <c r="D38" s="336" t="s">
        <v>1140</v>
      </c>
      <c r="E38" s="335"/>
      <c r="F38" s="362"/>
      <c r="G38" s="362"/>
      <c r="H38" s="360">
        <v>0</v>
      </c>
      <c r="I38" s="360">
        <v>0</v>
      </c>
      <c r="J38" s="360">
        <v>0</v>
      </c>
      <c r="K38" s="361">
        <f t="shared" si="22"/>
        <v>0</v>
      </c>
      <c r="L38" s="360">
        <v>0</v>
      </c>
      <c r="M38" s="360">
        <v>0</v>
      </c>
      <c r="N38" s="360">
        <v>0</v>
      </c>
      <c r="O38" s="361">
        <f t="shared" si="23"/>
        <v>0</v>
      </c>
      <c r="P38" s="360">
        <v>0</v>
      </c>
      <c r="Q38" s="360">
        <v>0</v>
      </c>
      <c r="R38" s="360">
        <v>0</v>
      </c>
      <c r="S38" s="361">
        <f t="shared" si="24"/>
        <v>0</v>
      </c>
      <c r="T38" s="348" t="str">
        <f t="shared" si="25"/>
        <v>zero</v>
      </c>
      <c r="U38" s="199">
        <f t="shared" si="26"/>
        <v>0</v>
      </c>
      <c r="V38" s="164" t="str">
        <f t="shared" si="27"/>
        <v>-</v>
      </c>
      <c r="W38" s="167"/>
    </row>
    <row r="39" spans="1:23" customFormat="1" ht="12.75" customHeight="1" x14ac:dyDescent="0.25">
      <c r="A39" s="324" t="s">
        <v>1141</v>
      </c>
      <c r="B39" s="334"/>
      <c r="C39" s="335"/>
      <c r="D39" s="336" t="s">
        <v>1142</v>
      </c>
      <c r="E39" s="335"/>
      <c r="F39" s="337"/>
      <c r="G39" s="337"/>
      <c r="H39" s="360">
        <v>1353</v>
      </c>
      <c r="I39" s="360">
        <v>0</v>
      </c>
      <c r="J39" s="360">
        <v>7334</v>
      </c>
      <c r="K39" s="361">
        <f t="shared" si="22"/>
        <v>8687</v>
      </c>
      <c r="L39" s="360">
        <v>2</v>
      </c>
      <c r="M39" s="360">
        <v>0</v>
      </c>
      <c r="N39" s="360">
        <v>8659</v>
      </c>
      <c r="O39" s="361">
        <f t="shared" si="23"/>
        <v>8661</v>
      </c>
      <c r="P39" s="360">
        <v>2</v>
      </c>
      <c r="Q39" s="360">
        <v>0</v>
      </c>
      <c r="R39" s="360">
        <v>8659</v>
      </c>
      <c r="S39" s="361">
        <f t="shared" si="24"/>
        <v>8661</v>
      </c>
      <c r="T39" s="348" t="str">
        <f t="shared" si="25"/>
        <v>7</v>
      </c>
      <c r="U39" s="199">
        <f t="shared" si="26"/>
        <v>26</v>
      </c>
      <c r="V39" s="164">
        <f t="shared" si="27"/>
        <v>3.0019628218450525E-3</v>
      </c>
      <c r="W39" s="167"/>
    </row>
    <row r="40" spans="1:23" customFormat="1" ht="12.75" customHeight="1" x14ac:dyDescent="0.25">
      <c r="A40" s="324" t="s">
        <v>1143</v>
      </c>
      <c r="B40" s="334"/>
      <c r="C40" s="335"/>
      <c r="D40" s="336" t="s">
        <v>1144</v>
      </c>
      <c r="E40" s="335"/>
      <c r="F40" s="337"/>
      <c r="G40" s="337"/>
      <c r="H40" s="360">
        <v>77</v>
      </c>
      <c r="I40" s="360">
        <v>0</v>
      </c>
      <c r="J40" s="360">
        <v>3071</v>
      </c>
      <c r="K40" s="361">
        <f t="shared" si="22"/>
        <v>3148</v>
      </c>
      <c r="L40" s="360">
        <v>0</v>
      </c>
      <c r="M40" s="360">
        <v>0</v>
      </c>
      <c r="N40" s="360">
        <v>3347</v>
      </c>
      <c r="O40" s="361">
        <f t="shared" si="23"/>
        <v>3347</v>
      </c>
      <c r="P40" s="360">
        <v>0</v>
      </c>
      <c r="Q40" s="360">
        <v>0</v>
      </c>
      <c r="R40" s="360">
        <v>3347</v>
      </c>
      <c r="S40" s="361">
        <f t="shared" si="24"/>
        <v>3347</v>
      </c>
      <c r="T40" s="348" t="str">
        <f t="shared" si="25"/>
        <v>8</v>
      </c>
      <c r="U40" s="199">
        <f t="shared" si="26"/>
        <v>-199</v>
      </c>
      <c r="V40" s="164">
        <f t="shared" si="27"/>
        <v>6.3214739517153742E-2</v>
      </c>
      <c r="W40" s="167"/>
    </row>
    <row r="41" spans="1:23" customFormat="1" ht="12.75" customHeight="1" x14ac:dyDescent="0.25">
      <c r="A41" s="324" t="s">
        <v>1145</v>
      </c>
      <c r="B41" s="334"/>
      <c r="C41" s="335"/>
      <c r="D41" s="336" t="s">
        <v>1146</v>
      </c>
      <c r="E41" s="335"/>
      <c r="F41" s="362"/>
      <c r="G41" s="362"/>
      <c r="H41" s="360">
        <v>0</v>
      </c>
      <c r="I41" s="360">
        <v>0</v>
      </c>
      <c r="J41" s="360">
        <v>9</v>
      </c>
      <c r="K41" s="361">
        <f t="shared" si="22"/>
        <v>9</v>
      </c>
      <c r="L41" s="360">
        <v>29</v>
      </c>
      <c r="M41" s="360">
        <v>0</v>
      </c>
      <c r="N41" s="360">
        <v>21</v>
      </c>
      <c r="O41" s="361">
        <f t="shared" si="23"/>
        <v>50</v>
      </c>
      <c r="P41" s="360">
        <v>29</v>
      </c>
      <c r="Q41" s="360">
        <v>0</v>
      </c>
      <c r="R41" s="360">
        <v>21</v>
      </c>
      <c r="S41" s="361">
        <f t="shared" si="24"/>
        <v>50</v>
      </c>
      <c r="T41" s="348" t="str">
        <f t="shared" si="25"/>
        <v>9</v>
      </c>
      <c r="U41" s="199">
        <f t="shared" si="26"/>
        <v>-41</v>
      </c>
      <c r="V41" s="164">
        <f t="shared" si="27"/>
        <v>4.5555555555555554</v>
      </c>
      <c r="W41" s="167"/>
    </row>
    <row r="42" spans="1:23" customFormat="1" ht="12.75" customHeight="1" x14ac:dyDescent="0.25">
      <c r="A42" s="324" t="s">
        <v>1147</v>
      </c>
      <c r="B42" s="334"/>
      <c r="C42" s="335"/>
      <c r="D42" s="336" t="s">
        <v>1148</v>
      </c>
      <c r="E42" s="335"/>
      <c r="F42" s="337"/>
      <c r="G42" s="337"/>
      <c r="H42" s="360">
        <v>80</v>
      </c>
      <c r="I42" s="360">
        <v>0</v>
      </c>
      <c r="J42" s="360">
        <v>426</v>
      </c>
      <c r="K42" s="361">
        <f t="shared" si="22"/>
        <v>506</v>
      </c>
      <c r="L42" s="360">
        <v>0</v>
      </c>
      <c r="M42" s="360">
        <v>0</v>
      </c>
      <c r="N42" s="360">
        <v>1716</v>
      </c>
      <c r="O42" s="361">
        <f t="shared" si="23"/>
        <v>1716</v>
      </c>
      <c r="P42" s="360">
        <v>0</v>
      </c>
      <c r="Q42" s="360">
        <v>0</v>
      </c>
      <c r="R42" s="360">
        <v>1716</v>
      </c>
      <c r="S42" s="361">
        <f t="shared" si="24"/>
        <v>1716</v>
      </c>
      <c r="T42" s="348" t="str">
        <f t="shared" si="25"/>
        <v>6</v>
      </c>
      <c r="U42" s="199">
        <f t="shared" si="26"/>
        <v>-1210</v>
      </c>
      <c r="V42" s="164">
        <f t="shared" si="27"/>
        <v>2.3913043478260869</v>
      </c>
      <c r="W42" s="167"/>
    </row>
    <row r="43" spans="1:23" customFormat="1" ht="12.75" customHeight="1" x14ac:dyDescent="0.25">
      <c r="A43" s="324" t="s">
        <v>1149</v>
      </c>
      <c r="B43" s="334"/>
      <c r="C43" s="335"/>
      <c r="D43" s="336" t="s">
        <v>1150</v>
      </c>
      <c r="E43" s="335"/>
      <c r="F43" s="337"/>
      <c r="G43" s="337"/>
      <c r="H43" s="360">
        <v>6</v>
      </c>
      <c r="I43" s="360">
        <v>0</v>
      </c>
      <c r="J43" s="360">
        <v>136</v>
      </c>
      <c r="K43" s="361">
        <f t="shared" si="22"/>
        <v>142</v>
      </c>
      <c r="L43" s="360">
        <v>0</v>
      </c>
      <c r="M43" s="360">
        <v>0</v>
      </c>
      <c r="N43" s="360">
        <v>130</v>
      </c>
      <c r="O43" s="361">
        <f t="shared" si="23"/>
        <v>130</v>
      </c>
      <c r="P43" s="360">
        <v>0</v>
      </c>
      <c r="Q43" s="360">
        <v>0</v>
      </c>
      <c r="R43" s="360">
        <v>130</v>
      </c>
      <c r="S43" s="361">
        <f t="shared" si="24"/>
        <v>130</v>
      </c>
      <c r="T43" s="348" t="str">
        <f t="shared" si="25"/>
        <v>2</v>
      </c>
      <c r="U43" s="199">
        <f t="shared" si="26"/>
        <v>12</v>
      </c>
      <c r="V43" s="164">
        <f t="shared" si="27"/>
        <v>9.2307692307692313E-2</v>
      </c>
      <c r="W43" s="167"/>
    </row>
    <row r="44" spans="1:23" customFormat="1" ht="12.75" customHeight="1" x14ac:dyDescent="0.25">
      <c r="A44" s="324" t="s">
        <v>1151</v>
      </c>
      <c r="B44" s="340"/>
      <c r="C44" s="341" t="s">
        <v>1157</v>
      </c>
      <c r="D44" s="342"/>
      <c r="E44" s="342"/>
      <c r="F44" s="343"/>
      <c r="G44" s="343"/>
      <c r="H44" s="363">
        <f t="shared" ref="H44:S44" si="28">SUM(H37:H43)</f>
        <v>5765</v>
      </c>
      <c r="I44" s="363">
        <f t="shared" si="28"/>
        <v>7</v>
      </c>
      <c r="J44" s="363">
        <f t="shared" si="28"/>
        <v>11775</v>
      </c>
      <c r="K44" s="363">
        <f t="shared" si="28"/>
        <v>17547</v>
      </c>
      <c r="L44" s="363">
        <f t="shared" si="28"/>
        <v>4027</v>
      </c>
      <c r="M44" s="363">
        <f t="shared" si="28"/>
        <v>8</v>
      </c>
      <c r="N44" s="363">
        <f t="shared" si="28"/>
        <v>14430</v>
      </c>
      <c r="O44" s="363">
        <f t="shared" si="28"/>
        <v>18465</v>
      </c>
      <c r="P44" s="363">
        <f t="shared" si="28"/>
        <v>4027</v>
      </c>
      <c r="Q44" s="363">
        <f t="shared" si="28"/>
        <v>8</v>
      </c>
      <c r="R44" s="363">
        <f t="shared" si="28"/>
        <v>14430</v>
      </c>
      <c r="S44" s="363">
        <f t="shared" si="28"/>
        <v>18465</v>
      </c>
      <c r="T44" s="164"/>
      <c r="U44" s="199">
        <f t="shared" si="26"/>
        <v>-918</v>
      </c>
      <c r="V44" s="164">
        <f t="shared" si="27"/>
        <v>5.2316635322277309E-2</v>
      </c>
      <c r="W44" s="173"/>
    </row>
    <row r="45" spans="1:23" customFormat="1" ht="12.75" customHeight="1" x14ac:dyDescent="0.25">
      <c r="A45" s="324"/>
      <c r="B45" s="350"/>
      <c r="C45" s="351"/>
      <c r="D45" s="352"/>
      <c r="E45" s="352"/>
      <c r="F45" s="353"/>
      <c r="G45" s="353"/>
      <c r="H45" s="354"/>
      <c r="I45" s="354"/>
      <c r="J45" s="354"/>
      <c r="K45" s="354"/>
      <c r="L45" s="354"/>
      <c r="M45" s="354"/>
      <c r="N45" s="354"/>
      <c r="O45" s="354"/>
      <c r="P45" s="354"/>
      <c r="Q45" s="354"/>
      <c r="R45" s="354"/>
      <c r="S45" s="354"/>
      <c r="T45" s="164"/>
    </row>
    <row r="46" spans="1:23" customFormat="1" ht="12.75" customHeight="1" x14ac:dyDescent="0.25">
      <c r="A46" s="324" t="s">
        <v>797</v>
      </c>
      <c r="B46" s="364"/>
      <c r="C46" s="341" t="s">
        <v>1158</v>
      </c>
      <c r="D46" s="342"/>
      <c r="E46" s="342"/>
      <c r="F46" s="343"/>
      <c r="G46" s="343"/>
      <c r="H46" s="363">
        <f t="shared" ref="H46:S46" si="29">SUM(H34+H44)</f>
        <v>73086</v>
      </c>
      <c r="I46" s="363">
        <f t="shared" si="29"/>
        <v>1460</v>
      </c>
      <c r="J46" s="363">
        <f t="shared" si="29"/>
        <v>49956</v>
      </c>
      <c r="K46" s="363">
        <f t="shared" si="29"/>
        <v>124502</v>
      </c>
      <c r="L46" s="363">
        <f t="shared" si="29"/>
        <v>69438</v>
      </c>
      <c r="M46" s="363">
        <f t="shared" si="29"/>
        <v>1170</v>
      </c>
      <c r="N46" s="363">
        <f t="shared" si="29"/>
        <v>49014</v>
      </c>
      <c r="O46" s="363">
        <f t="shared" si="29"/>
        <v>119622</v>
      </c>
      <c r="P46" s="363">
        <f t="shared" si="29"/>
        <v>69438</v>
      </c>
      <c r="Q46" s="363">
        <f t="shared" si="29"/>
        <v>1170</v>
      </c>
      <c r="R46" s="363">
        <f t="shared" si="29"/>
        <v>49014</v>
      </c>
      <c r="S46" s="363">
        <f t="shared" si="29"/>
        <v>119622</v>
      </c>
      <c r="T46" s="164"/>
      <c r="U46" s="199">
        <f>K46-O46</f>
        <v>4880</v>
      </c>
      <c r="V46" s="164">
        <f>IF(AND(OR(K46=0,O46&lt;&gt;0),OR(O46=0,K46&lt;&gt;0)),IF((K46+O46+U46&lt;&gt;0),IF(AND(OR(K46&gt;0,O46&lt;0),OR(O46&gt;0,K46&lt;0)),ABS(U46/MIN(ABS(O46),ABS(K46))),10),"-"),10)</f>
        <v>4.0795171456755444E-2</v>
      </c>
      <c r="W46" s="186"/>
    </row>
    <row r="47" spans="1:23" customFormat="1" ht="12.75" customHeight="1" x14ac:dyDescent="0.25">
      <c r="A47" s="324"/>
      <c r="B47" s="350"/>
      <c r="C47" s="351"/>
      <c r="D47" s="352"/>
      <c r="E47" s="352"/>
      <c r="F47" s="353"/>
      <c r="G47" s="353"/>
      <c r="H47" s="354"/>
      <c r="I47" s="354"/>
      <c r="J47" s="354"/>
      <c r="K47" s="354"/>
      <c r="L47" s="354"/>
      <c r="M47" s="354"/>
      <c r="N47" s="354"/>
      <c r="O47" s="354"/>
      <c r="P47" s="354"/>
      <c r="Q47" s="354"/>
      <c r="R47" s="354"/>
      <c r="S47" s="354"/>
      <c r="T47" s="164"/>
    </row>
    <row r="48" spans="1:23" customFormat="1" ht="12.75" customHeight="1" x14ac:dyDescent="0.25">
      <c r="A48" s="324" t="s">
        <v>799</v>
      </c>
      <c r="B48" s="365"/>
      <c r="C48" s="326" t="s">
        <v>1159</v>
      </c>
      <c r="D48" s="366"/>
      <c r="E48" s="366"/>
      <c r="F48" s="367"/>
      <c r="G48" s="367"/>
      <c r="H48" s="359"/>
      <c r="I48" s="359"/>
      <c r="J48" s="359"/>
      <c r="K48" s="359"/>
      <c r="L48" s="359"/>
      <c r="M48" s="359"/>
      <c r="N48" s="359"/>
      <c r="O48" s="359"/>
      <c r="P48" s="359"/>
      <c r="Q48" s="359"/>
      <c r="R48" s="359"/>
      <c r="S48" s="359"/>
      <c r="T48" s="164"/>
    </row>
    <row r="49" spans="1:23" customFormat="1" ht="12.75" customHeight="1" x14ac:dyDescent="0.25">
      <c r="A49" s="324" t="s">
        <v>1137</v>
      </c>
      <c r="B49" s="334"/>
      <c r="C49" s="335"/>
      <c r="D49" s="336" t="s">
        <v>1138</v>
      </c>
      <c r="E49" s="335"/>
      <c r="F49" s="337"/>
      <c r="G49" s="337"/>
      <c r="H49" s="368" t="s">
        <v>1160</v>
      </c>
      <c r="I49" s="368" t="s">
        <v>1160</v>
      </c>
      <c r="J49" s="368" t="s">
        <v>1160</v>
      </c>
      <c r="K49" s="360">
        <v>96056</v>
      </c>
      <c r="L49" s="368" t="s">
        <v>1160</v>
      </c>
      <c r="M49" s="368" t="s">
        <v>1160</v>
      </c>
      <c r="N49" s="368" t="s">
        <v>1160</v>
      </c>
      <c r="O49" s="360">
        <v>81670</v>
      </c>
      <c r="P49" s="368" t="s">
        <v>1160</v>
      </c>
      <c r="Q49" s="368" t="s">
        <v>1160</v>
      </c>
      <c r="R49" s="368" t="s">
        <v>1160</v>
      </c>
      <c r="S49" s="360">
        <v>81670</v>
      </c>
      <c r="T49" s="348" t="str">
        <f t="shared" ref="T49:T55" si="30">IF(K49=0,"zero",RIGHT(K49,1))</f>
        <v>6</v>
      </c>
      <c r="U49" s="199">
        <f t="shared" ref="U49:U56" si="31">K49-O49</f>
        <v>14386</v>
      </c>
      <c r="V49" s="164">
        <f t="shared" ref="V49:V56" si="32">IF(AND(OR(K49=0,O49&lt;&gt;0),OR(O49=0,K49&lt;&gt;0)),IF((K49+O49+U49&lt;&gt;0),IF(AND(OR(K49&gt;0,O49&lt;0),OR(O49&gt;0,K49&lt;0)),ABS(U49/MIN(ABS(O49),ABS(K49))),10),"-"),10)</f>
        <v>0.17614791233010899</v>
      </c>
      <c r="W49" s="167"/>
    </row>
    <row r="50" spans="1:23" customFormat="1" ht="12.75" customHeight="1" x14ac:dyDescent="0.25">
      <c r="A50" s="324" t="s">
        <v>1139</v>
      </c>
      <c r="B50" s="334"/>
      <c r="C50" s="335"/>
      <c r="D50" s="336" t="s">
        <v>1140</v>
      </c>
      <c r="E50" s="335"/>
      <c r="F50" s="337"/>
      <c r="G50" s="337"/>
      <c r="H50" s="368" t="s">
        <v>1160</v>
      </c>
      <c r="I50" s="368" t="s">
        <v>1160</v>
      </c>
      <c r="J50" s="368" t="s">
        <v>1160</v>
      </c>
      <c r="K50" s="360">
        <v>0</v>
      </c>
      <c r="L50" s="368" t="s">
        <v>1160</v>
      </c>
      <c r="M50" s="368" t="s">
        <v>1160</v>
      </c>
      <c r="N50" s="368" t="s">
        <v>1160</v>
      </c>
      <c r="O50" s="360">
        <v>0</v>
      </c>
      <c r="P50" s="368" t="s">
        <v>1160</v>
      </c>
      <c r="Q50" s="368" t="s">
        <v>1160</v>
      </c>
      <c r="R50" s="368" t="s">
        <v>1160</v>
      </c>
      <c r="S50" s="360">
        <v>0</v>
      </c>
      <c r="T50" s="348" t="str">
        <f t="shared" si="30"/>
        <v>zero</v>
      </c>
      <c r="U50" s="199">
        <f t="shared" si="31"/>
        <v>0</v>
      </c>
      <c r="V50" s="164" t="str">
        <f t="shared" si="32"/>
        <v>-</v>
      </c>
      <c r="W50" s="167"/>
    </row>
    <row r="51" spans="1:23" customFormat="1" ht="12.75" customHeight="1" x14ac:dyDescent="0.25">
      <c r="A51" s="324" t="s">
        <v>1141</v>
      </c>
      <c r="B51" s="334"/>
      <c r="C51" s="335"/>
      <c r="D51" s="336" t="s">
        <v>1142</v>
      </c>
      <c r="E51" s="335"/>
      <c r="F51" s="337"/>
      <c r="G51" s="337"/>
      <c r="H51" s="368" t="s">
        <v>1160</v>
      </c>
      <c r="I51" s="368" t="s">
        <v>1160</v>
      </c>
      <c r="J51" s="368" t="s">
        <v>1160</v>
      </c>
      <c r="K51" s="360">
        <v>75259</v>
      </c>
      <c r="L51" s="368" t="s">
        <v>1160</v>
      </c>
      <c r="M51" s="368" t="s">
        <v>1160</v>
      </c>
      <c r="N51" s="368" t="s">
        <v>1160</v>
      </c>
      <c r="O51" s="360">
        <v>60122</v>
      </c>
      <c r="P51" s="368" t="s">
        <v>1160</v>
      </c>
      <c r="Q51" s="368" t="s">
        <v>1160</v>
      </c>
      <c r="R51" s="368" t="s">
        <v>1160</v>
      </c>
      <c r="S51" s="360">
        <v>60122</v>
      </c>
      <c r="T51" s="348" t="str">
        <f t="shared" si="30"/>
        <v>9</v>
      </c>
      <c r="U51" s="199">
        <f t="shared" si="31"/>
        <v>15137</v>
      </c>
      <c r="V51" s="164">
        <f t="shared" si="32"/>
        <v>0.25177139815708061</v>
      </c>
      <c r="W51" s="167"/>
    </row>
    <row r="52" spans="1:23" customFormat="1" ht="12.75" customHeight="1" x14ac:dyDescent="0.25">
      <c r="A52" s="324" t="s">
        <v>1143</v>
      </c>
      <c r="B52" s="334"/>
      <c r="C52" s="335"/>
      <c r="D52" s="336" t="s">
        <v>1144</v>
      </c>
      <c r="E52" s="335"/>
      <c r="F52" s="362"/>
      <c r="G52" s="362"/>
      <c r="H52" s="368" t="s">
        <v>1160</v>
      </c>
      <c r="I52" s="368" t="s">
        <v>1160</v>
      </c>
      <c r="J52" s="368" t="s">
        <v>1160</v>
      </c>
      <c r="K52" s="360">
        <v>19310</v>
      </c>
      <c r="L52" s="368" t="s">
        <v>1160</v>
      </c>
      <c r="M52" s="368" t="s">
        <v>1160</v>
      </c>
      <c r="N52" s="368" t="s">
        <v>1160</v>
      </c>
      <c r="O52" s="360">
        <v>17432</v>
      </c>
      <c r="P52" s="368" t="s">
        <v>1160</v>
      </c>
      <c r="Q52" s="368" t="s">
        <v>1160</v>
      </c>
      <c r="R52" s="368" t="s">
        <v>1160</v>
      </c>
      <c r="S52" s="360">
        <v>17432</v>
      </c>
      <c r="T52" s="348" t="str">
        <f t="shared" si="30"/>
        <v>0</v>
      </c>
      <c r="U52" s="199">
        <f t="shared" si="31"/>
        <v>1878</v>
      </c>
      <c r="V52" s="164">
        <f t="shared" si="32"/>
        <v>0.10773290500229463</v>
      </c>
      <c r="W52" s="167"/>
    </row>
    <row r="53" spans="1:23" customFormat="1" ht="12.75" customHeight="1" x14ac:dyDescent="0.25">
      <c r="A53" s="324" t="s">
        <v>1145</v>
      </c>
      <c r="B53" s="334"/>
      <c r="C53" s="335"/>
      <c r="D53" s="336" t="s">
        <v>1146</v>
      </c>
      <c r="E53" s="335"/>
      <c r="F53" s="362"/>
      <c r="G53" s="362"/>
      <c r="H53" s="368" t="s">
        <v>1160</v>
      </c>
      <c r="I53" s="368" t="s">
        <v>1160</v>
      </c>
      <c r="J53" s="368" t="s">
        <v>1160</v>
      </c>
      <c r="K53" s="360">
        <v>7104</v>
      </c>
      <c r="L53" s="368" t="s">
        <v>1160</v>
      </c>
      <c r="M53" s="368" t="s">
        <v>1160</v>
      </c>
      <c r="N53" s="368" t="s">
        <v>1160</v>
      </c>
      <c r="O53" s="360">
        <v>8294</v>
      </c>
      <c r="P53" s="368" t="s">
        <v>1160</v>
      </c>
      <c r="Q53" s="368" t="s">
        <v>1160</v>
      </c>
      <c r="R53" s="368" t="s">
        <v>1160</v>
      </c>
      <c r="S53" s="360">
        <v>8294</v>
      </c>
      <c r="T53" s="348" t="str">
        <f t="shared" si="30"/>
        <v>4</v>
      </c>
      <c r="U53" s="199">
        <f t="shared" si="31"/>
        <v>-1190</v>
      </c>
      <c r="V53" s="164">
        <f t="shared" si="32"/>
        <v>0.16751126126126126</v>
      </c>
      <c r="W53" s="167"/>
    </row>
    <row r="54" spans="1:23" customFormat="1" ht="12.75" customHeight="1" x14ac:dyDescent="0.25">
      <c r="A54" s="324" t="s">
        <v>1147</v>
      </c>
      <c r="B54" s="334"/>
      <c r="C54" s="335"/>
      <c r="D54" s="336" t="s">
        <v>1148</v>
      </c>
      <c r="E54" s="335"/>
      <c r="F54" s="337"/>
      <c r="G54" s="337"/>
      <c r="H54" s="368" t="s">
        <v>1160</v>
      </c>
      <c r="I54" s="368" t="s">
        <v>1160</v>
      </c>
      <c r="J54" s="368" t="s">
        <v>1160</v>
      </c>
      <c r="K54" s="360">
        <v>501</v>
      </c>
      <c r="L54" s="368" t="s">
        <v>1160</v>
      </c>
      <c r="M54" s="368" t="s">
        <v>1160</v>
      </c>
      <c r="N54" s="368" t="s">
        <v>1160</v>
      </c>
      <c r="O54" s="360">
        <v>430</v>
      </c>
      <c r="P54" s="368" t="s">
        <v>1160</v>
      </c>
      <c r="Q54" s="368" t="s">
        <v>1160</v>
      </c>
      <c r="R54" s="368" t="s">
        <v>1160</v>
      </c>
      <c r="S54" s="360">
        <v>430</v>
      </c>
      <c r="T54" s="348" t="str">
        <f t="shared" si="30"/>
        <v>1</v>
      </c>
      <c r="U54" s="199">
        <f t="shared" si="31"/>
        <v>71</v>
      </c>
      <c r="V54" s="164">
        <f t="shared" si="32"/>
        <v>0.16511627906976745</v>
      </c>
      <c r="W54" s="167"/>
    </row>
    <row r="55" spans="1:23" customFormat="1" ht="12.75" customHeight="1" x14ac:dyDescent="0.25">
      <c r="A55" s="324" t="s">
        <v>1149</v>
      </c>
      <c r="B55" s="334"/>
      <c r="C55" s="335"/>
      <c r="D55" s="336" t="s">
        <v>1150</v>
      </c>
      <c r="E55" s="335"/>
      <c r="F55" s="337"/>
      <c r="G55" s="337"/>
      <c r="H55" s="368" t="s">
        <v>1160</v>
      </c>
      <c r="I55" s="368" t="s">
        <v>1160</v>
      </c>
      <c r="J55" s="368" t="s">
        <v>1160</v>
      </c>
      <c r="K55" s="360">
        <v>270</v>
      </c>
      <c r="L55" s="368" t="s">
        <v>1160</v>
      </c>
      <c r="M55" s="368" t="s">
        <v>1160</v>
      </c>
      <c r="N55" s="368" t="s">
        <v>1160</v>
      </c>
      <c r="O55" s="360">
        <v>206</v>
      </c>
      <c r="P55" s="368" t="s">
        <v>1160</v>
      </c>
      <c r="Q55" s="368" t="s">
        <v>1160</v>
      </c>
      <c r="R55" s="368" t="s">
        <v>1160</v>
      </c>
      <c r="S55" s="360">
        <v>206</v>
      </c>
      <c r="T55" s="348" t="str">
        <f t="shared" si="30"/>
        <v>0</v>
      </c>
      <c r="U55" s="199">
        <f t="shared" si="31"/>
        <v>64</v>
      </c>
      <c r="V55" s="164">
        <f t="shared" si="32"/>
        <v>0.31067961165048541</v>
      </c>
      <c r="W55" s="167"/>
    </row>
    <row r="56" spans="1:23" customFormat="1" ht="12.75" customHeight="1" x14ac:dyDescent="0.25">
      <c r="A56" s="324" t="s">
        <v>1151</v>
      </c>
      <c r="B56" s="340"/>
      <c r="C56" s="341" t="s">
        <v>1161</v>
      </c>
      <c r="D56" s="369"/>
      <c r="E56" s="369"/>
      <c r="F56" s="370"/>
      <c r="G56" s="370"/>
      <c r="H56" s="371" t="s">
        <v>1160</v>
      </c>
      <c r="I56" s="371" t="s">
        <v>1160</v>
      </c>
      <c r="J56" s="371" t="s">
        <v>1160</v>
      </c>
      <c r="K56" s="363">
        <f>SUM(K49:K55)</f>
        <v>198500</v>
      </c>
      <c r="L56" s="371" t="s">
        <v>1160</v>
      </c>
      <c r="M56" s="371" t="s">
        <v>1160</v>
      </c>
      <c r="N56" s="371" t="s">
        <v>1160</v>
      </c>
      <c r="O56" s="363">
        <f>SUM(O49:O55)</f>
        <v>168154</v>
      </c>
      <c r="P56" s="371" t="s">
        <v>1160</v>
      </c>
      <c r="Q56" s="371" t="s">
        <v>1160</v>
      </c>
      <c r="R56" s="371" t="s">
        <v>1160</v>
      </c>
      <c r="S56" s="363">
        <f>SUM(S49:S55)</f>
        <v>168154</v>
      </c>
      <c r="T56" s="164"/>
      <c r="U56" s="199">
        <f t="shared" si="31"/>
        <v>30346</v>
      </c>
      <c r="V56" s="164">
        <f t="shared" si="32"/>
        <v>0.18046552564910737</v>
      </c>
      <c r="W56" s="173"/>
    </row>
    <row r="57" spans="1:23" customFormat="1" ht="12.75" customHeight="1" x14ac:dyDescent="0.25">
      <c r="A57" s="324"/>
      <c r="B57" s="248"/>
      <c r="C57" s="335"/>
      <c r="D57" s="335"/>
      <c r="E57" s="335"/>
      <c r="F57" s="372"/>
      <c r="G57" s="372"/>
      <c r="H57" s="373"/>
      <c r="I57" s="373"/>
      <c r="J57" s="373"/>
      <c r="K57" s="374"/>
      <c r="L57" s="373"/>
      <c r="M57" s="373"/>
      <c r="N57" s="373"/>
      <c r="O57" s="374"/>
      <c r="P57" s="373"/>
      <c r="Q57" s="373"/>
      <c r="R57" s="373"/>
      <c r="S57" s="374"/>
      <c r="T57" s="164"/>
    </row>
    <row r="58" spans="1:23" customFormat="1" ht="12.75" customHeight="1" x14ac:dyDescent="0.25">
      <c r="A58" s="324" t="s">
        <v>801</v>
      </c>
      <c r="B58" s="375"/>
      <c r="C58" s="376" t="s">
        <v>1162</v>
      </c>
      <c r="D58" s="377"/>
      <c r="E58" s="377"/>
      <c r="F58" s="378"/>
      <c r="G58" s="378"/>
      <c r="H58" s="379" t="s">
        <v>1160</v>
      </c>
      <c r="I58" s="379" t="s">
        <v>1160</v>
      </c>
      <c r="J58" s="379" t="s">
        <v>1160</v>
      </c>
      <c r="K58" s="371">
        <f>SUM(K46+K56)</f>
        <v>323002</v>
      </c>
      <c r="L58" s="379" t="s">
        <v>1160</v>
      </c>
      <c r="M58" s="379" t="s">
        <v>1160</v>
      </c>
      <c r="N58" s="379" t="s">
        <v>1160</v>
      </c>
      <c r="O58" s="371">
        <f>SUM(O46+O56)</f>
        <v>287776</v>
      </c>
      <c r="P58" s="379" t="s">
        <v>1160</v>
      </c>
      <c r="Q58" s="379" t="s">
        <v>1160</v>
      </c>
      <c r="R58" s="379" t="s">
        <v>1160</v>
      </c>
      <c r="S58" s="371">
        <f>SUM(S46+S56)</f>
        <v>287776</v>
      </c>
      <c r="T58" s="164"/>
    </row>
    <row r="59" spans="1:23" customFormat="1" ht="12.75" customHeight="1" x14ac:dyDescent="0.25">
      <c r="A59" s="324"/>
      <c r="B59" s="350"/>
      <c r="C59" s="351"/>
      <c r="D59" s="41"/>
      <c r="E59" s="41"/>
      <c r="F59" s="41"/>
      <c r="G59" s="41"/>
      <c r="H59" s="380"/>
      <c r="I59" s="380"/>
      <c r="J59" s="380"/>
      <c r="K59" s="374"/>
      <c r="L59" s="380"/>
      <c r="M59" s="380"/>
      <c r="N59" s="380"/>
      <c r="O59" s="374"/>
      <c r="P59" s="380"/>
      <c r="Q59" s="380"/>
      <c r="R59" s="380"/>
      <c r="S59" s="374"/>
      <c r="T59" s="164"/>
    </row>
    <row r="60" spans="1:23" customFormat="1" ht="12.75" customHeight="1" x14ac:dyDescent="0.25">
      <c r="A60" s="324">
        <v>2</v>
      </c>
      <c r="B60" s="381" t="s">
        <v>1163</v>
      </c>
      <c r="C60" s="336"/>
      <c r="D60" s="336"/>
      <c r="E60" s="336"/>
      <c r="F60" s="382"/>
      <c r="G60" s="382"/>
      <c r="H60" s="383" t="s">
        <v>1160</v>
      </c>
      <c r="I60" s="383" t="s">
        <v>1160</v>
      </c>
      <c r="J60" s="383" t="s">
        <v>1160</v>
      </c>
      <c r="K60" s="360">
        <v>6300</v>
      </c>
      <c r="L60" s="383" t="s">
        <v>1160</v>
      </c>
      <c r="M60" s="383" t="s">
        <v>1160</v>
      </c>
      <c r="N60" s="383" t="s">
        <v>1160</v>
      </c>
      <c r="O60" s="360">
        <v>6399</v>
      </c>
      <c r="P60" s="383" t="s">
        <v>1160</v>
      </c>
      <c r="Q60" s="383" t="s">
        <v>1160</v>
      </c>
      <c r="R60" s="383" t="s">
        <v>1160</v>
      </c>
      <c r="S60" s="360">
        <v>6399</v>
      </c>
      <c r="T60" s="348" t="str">
        <f>IF(K60=0,"zero",RIGHT(K60,1))</f>
        <v>0</v>
      </c>
      <c r="U60" s="199">
        <f>K60-O60</f>
        <v>-99</v>
      </c>
      <c r="V60" s="164">
        <f>IF(AND(OR(K60=0,O60&lt;&gt;0),OR(O60=0,K60&lt;&gt;0)),IF((K60+O60+U60&lt;&gt;0),IF(AND(OR(K60&gt;0,O60&lt;0),OR(O60&gt;0,K60&lt;0)),ABS(U60/MIN(ABS(O60),ABS(K60))),10),"-"),10)</f>
        <v>1.5714285714285715E-2</v>
      </c>
      <c r="W60" s="167"/>
    </row>
    <row r="61" spans="1:23" customFormat="1" ht="12.75" customHeight="1" x14ac:dyDescent="0.25">
      <c r="A61" s="324">
        <v>3</v>
      </c>
      <c r="B61" s="381" t="s">
        <v>1164</v>
      </c>
      <c r="C61" s="336"/>
      <c r="D61" s="336"/>
      <c r="E61" s="336"/>
      <c r="F61" s="382"/>
      <c r="G61" s="382"/>
      <c r="H61" s="383" t="s">
        <v>1160</v>
      </c>
      <c r="I61" s="383" t="s">
        <v>1160</v>
      </c>
      <c r="J61" s="383" t="s">
        <v>1160</v>
      </c>
      <c r="K61" s="360">
        <v>0</v>
      </c>
      <c r="L61" s="383" t="s">
        <v>1160</v>
      </c>
      <c r="M61" s="383" t="s">
        <v>1160</v>
      </c>
      <c r="N61" s="383" t="s">
        <v>1160</v>
      </c>
      <c r="O61" s="360">
        <v>0</v>
      </c>
      <c r="P61" s="383" t="s">
        <v>1160</v>
      </c>
      <c r="Q61" s="383" t="s">
        <v>1160</v>
      </c>
      <c r="R61" s="383" t="s">
        <v>1160</v>
      </c>
      <c r="S61" s="360">
        <v>0</v>
      </c>
      <c r="T61" s="348" t="str">
        <f>IF(K61=0,"zero",RIGHT(K61,1))</f>
        <v>zero</v>
      </c>
      <c r="U61" s="199">
        <f>K61-O61</f>
        <v>0</v>
      </c>
      <c r="V61" s="164" t="str">
        <f>IF(AND(OR(K61=0,O61&lt;&gt;0),OR(O61=0,K61&lt;&gt;0)),IF((K61+O61+U61&lt;&gt;0),IF(AND(OR(K61&gt;0,O61&lt;0),OR(O61&gt;0,K61&lt;0)),ABS(U61/MIN(ABS(O61),ABS(K61))),10),"-"),10)</f>
        <v>-</v>
      </c>
      <c r="W61" s="167"/>
    </row>
    <row r="62" spans="1:23" customFormat="1" ht="12.75" customHeight="1" x14ac:dyDescent="0.25">
      <c r="A62" s="324">
        <v>4</v>
      </c>
      <c r="B62" s="325" t="s">
        <v>1165</v>
      </c>
      <c r="C62" s="326"/>
      <c r="D62" s="326"/>
      <c r="E62" s="326"/>
      <c r="F62" s="327"/>
      <c r="G62" s="327"/>
      <c r="H62" s="384"/>
      <c r="I62" s="384"/>
      <c r="J62" s="384"/>
      <c r="K62" s="384"/>
      <c r="L62" s="384"/>
      <c r="M62" s="384"/>
      <c r="N62" s="384"/>
      <c r="O62" s="384"/>
      <c r="P62" s="384"/>
      <c r="Q62" s="384"/>
      <c r="R62" s="384"/>
      <c r="S62" s="384"/>
      <c r="T62" s="164"/>
    </row>
    <row r="63" spans="1:23" customFormat="1" ht="12.75" customHeight="1" x14ac:dyDescent="0.25">
      <c r="A63" s="324" t="s">
        <v>1166</v>
      </c>
      <c r="B63" s="385"/>
      <c r="C63" s="336" t="s">
        <v>1167</v>
      </c>
      <c r="D63" s="335"/>
      <c r="E63" s="335"/>
      <c r="F63" s="337"/>
      <c r="G63" s="337"/>
      <c r="H63" s="383" t="s">
        <v>1160</v>
      </c>
      <c r="I63" s="383" t="s">
        <v>1160</v>
      </c>
      <c r="J63" s="383" t="s">
        <v>1160</v>
      </c>
      <c r="K63" s="360">
        <v>0</v>
      </c>
      <c r="L63" s="383" t="s">
        <v>1160</v>
      </c>
      <c r="M63" s="383" t="s">
        <v>1160</v>
      </c>
      <c r="N63" s="383" t="s">
        <v>1160</v>
      </c>
      <c r="O63" s="360">
        <v>0</v>
      </c>
      <c r="P63" s="383" t="s">
        <v>1160</v>
      </c>
      <c r="Q63" s="383" t="s">
        <v>1160</v>
      </c>
      <c r="R63" s="383" t="s">
        <v>1160</v>
      </c>
      <c r="S63" s="360">
        <v>0</v>
      </c>
      <c r="T63" s="348" t="str">
        <f>IF(K63=0,"zero",RIGHT(K63,1))</f>
        <v>zero</v>
      </c>
      <c r="U63" s="199">
        <f>K63-O63</f>
        <v>0</v>
      </c>
      <c r="V63" s="164" t="str">
        <f>IF(AND(OR(K63=0,O63&lt;&gt;0),OR(O63=0,K63&lt;&gt;0)),IF((K63+O63+U63&lt;&gt;0),IF(AND(OR(K63&gt;0,O63&lt;0),OR(O63&gt;0,K63&lt;0)),ABS(U63/MIN(ABS(O63),ABS(K63))),10),"-"),10)</f>
        <v>-</v>
      </c>
      <c r="W63" s="167"/>
    </row>
    <row r="64" spans="1:23" customFormat="1" ht="12.75" customHeight="1" x14ac:dyDescent="0.25">
      <c r="A64" s="324" t="s">
        <v>1168</v>
      </c>
      <c r="B64" s="385"/>
      <c r="C64" s="336" t="s">
        <v>1169</v>
      </c>
      <c r="D64" s="335"/>
      <c r="E64" s="335"/>
      <c r="F64" s="337"/>
      <c r="G64" s="337"/>
      <c r="H64" s="383" t="s">
        <v>1160</v>
      </c>
      <c r="I64" s="383" t="s">
        <v>1160</v>
      </c>
      <c r="J64" s="383" t="s">
        <v>1160</v>
      </c>
      <c r="K64" s="360">
        <v>17548</v>
      </c>
      <c r="L64" s="383" t="s">
        <v>1160</v>
      </c>
      <c r="M64" s="383" t="s">
        <v>1160</v>
      </c>
      <c r="N64" s="383" t="s">
        <v>1160</v>
      </c>
      <c r="O64" s="360">
        <v>17840</v>
      </c>
      <c r="P64" s="383" t="s">
        <v>1160</v>
      </c>
      <c r="Q64" s="383" t="s">
        <v>1160</v>
      </c>
      <c r="R64" s="383" t="s">
        <v>1160</v>
      </c>
      <c r="S64" s="360">
        <v>17840</v>
      </c>
      <c r="T64" s="348" t="str">
        <f>IF(K64=0,"zero",RIGHT(K64,1))</f>
        <v>8</v>
      </c>
      <c r="U64" s="199">
        <f>K64-O64</f>
        <v>-292</v>
      </c>
      <c r="V64" s="164">
        <f>IF(AND(OR(K64=0,O64&lt;&gt;0),OR(O64=0,K64&lt;&gt;0)),IF((K64+O64+U64&lt;&gt;0),IF(AND(OR(K64&gt;0,O64&lt;0),OR(O64&gt;0,K64&lt;0)),ABS(U64/MIN(ABS(O64),ABS(K64))),10),"-"),10)</f>
        <v>1.6640072942785501E-2</v>
      </c>
      <c r="W64" s="167"/>
    </row>
    <row r="65" spans="1:19" customFormat="1" ht="12.75" customHeight="1" x14ac:dyDescent="0.25">
      <c r="A65" s="324" t="s">
        <v>1170</v>
      </c>
      <c r="B65" s="386" t="s">
        <v>1171</v>
      </c>
      <c r="C65" s="387"/>
      <c r="D65" s="387"/>
      <c r="E65" s="387"/>
      <c r="F65" s="388"/>
      <c r="G65" s="388"/>
      <c r="H65" s="379" t="s">
        <v>1160</v>
      </c>
      <c r="I65" s="379" t="s">
        <v>1160</v>
      </c>
      <c r="J65" s="379" t="s">
        <v>1160</v>
      </c>
      <c r="K65" s="371">
        <f>SUM(K63:K64)</f>
        <v>17548</v>
      </c>
      <c r="L65" s="379" t="s">
        <v>1160</v>
      </c>
      <c r="M65" s="379" t="s">
        <v>1160</v>
      </c>
      <c r="N65" s="379" t="s">
        <v>1160</v>
      </c>
      <c r="O65" s="371">
        <f>SUM(O63:O64)</f>
        <v>17840</v>
      </c>
      <c r="P65" s="379" t="s">
        <v>1160</v>
      </c>
      <c r="Q65" s="379" t="s">
        <v>1160</v>
      </c>
      <c r="R65" s="379" t="s">
        <v>1160</v>
      </c>
      <c r="S65" s="371">
        <f>SUM(S63:S64)</f>
        <v>17840</v>
      </c>
    </row>
    <row r="66" spans="1:19" customFormat="1" ht="12.75" customHeight="1" x14ac:dyDescent="0.25">
      <c r="A66" s="324"/>
      <c r="B66" s="389"/>
      <c r="C66" s="390"/>
      <c r="D66" s="390"/>
      <c r="E66" s="390"/>
      <c r="F66" s="391"/>
      <c r="G66" s="391"/>
      <c r="H66" s="392"/>
      <c r="I66" s="392"/>
      <c r="J66" s="392"/>
      <c r="K66" s="392"/>
      <c r="L66" s="392"/>
      <c r="M66" s="392"/>
      <c r="N66" s="392"/>
      <c r="O66" s="392"/>
      <c r="P66" s="392"/>
      <c r="Q66" s="392"/>
      <c r="R66" s="392"/>
      <c r="S66" s="392"/>
    </row>
    <row r="67" spans="1:19" customFormat="1" ht="12.75" customHeight="1" x14ac:dyDescent="0.25">
      <c r="A67" s="324">
        <v>5</v>
      </c>
      <c r="B67" s="393" t="s">
        <v>1172</v>
      </c>
      <c r="C67" s="377"/>
      <c r="D67" s="377"/>
      <c r="E67" s="377"/>
      <c r="F67" s="378"/>
      <c r="G67" s="378"/>
      <c r="H67" s="379" t="s">
        <v>1160</v>
      </c>
      <c r="I67" s="379" t="s">
        <v>1160</v>
      </c>
      <c r="J67" s="379" t="s">
        <v>1160</v>
      </c>
      <c r="K67" s="371">
        <f>SUM(K58,K60,K61,K65)</f>
        <v>346850</v>
      </c>
      <c r="L67" s="379" t="s">
        <v>1160</v>
      </c>
      <c r="M67" s="379" t="s">
        <v>1160</v>
      </c>
      <c r="N67" s="379" t="s">
        <v>1160</v>
      </c>
      <c r="O67" s="371">
        <f>SUM(O58,O60,O61,O65)</f>
        <v>312015</v>
      </c>
      <c r="P67" s="379" t="s">
        <v>1160</v>
      </c>
      <c r="Q67" s="379" t="s">
        <v>1160</v>
      </c>
      <c r="R67" s="379" t="s">
        <v>1160</v>
      </c>
      <c r="S67" s="371">
        <f>SUM(S58,S60,S61,S65)</f>
        <v>312015</v>
      </c>
    </row>
    <row r="68" spans="1:19" customFormat="1" ht="12.75" customHeight="1" x14ac:dyDescent="0.25">
      <c r="A68" s="324"/>
      <c r="B68" s="350"/>
      <c r="C68" s="351"/>
      <c r="D68" s="41"/>
      <c r="E68" s="41"/>
      <c r="F68" s="41"/>
      <c r="G68" s="41"/>
      <c r="H68" s="380"/>
      <c r="I68" s="380"/>
      <c r="J68" s="380"/>
      <c r="K68" s="374"/>
      <c r="L68" s="380"/>
      <c r="M68" s="380"/>
      <c r="N68" s="380"/>
      <c r="O68" s="374"/>
      <c r="P68" s="380"/>
      <c r="Q68" s="380"/>
      <c r="R68" s="380"/>
      <c r="S68" s="374"/>
    </row>
    <row r="69" spans="1:19" customFormat="1" ht="12.75" customHeight="1" x14ac:dyDescent="0.25">
      <c r="A69" s="324">
        <v>6</v>
      </c>
      <c r="B69" s="325" t="s">
        <v>1173</v>
      </c>
      <c r="C69" s="326"/>
      <c r="D69" s="326"/>
      <c r="E69" s="326"/>
      <c r="F69" s="327"/>
      <c r="G69" s="327"/>
      <c r="H69" s="359"/>
      <c r="I69" s="359"/>
      <c r="J69" s="359"/>
      <c r="K69" s="359"/>
      <c r="L69" s="359"/>
      <c r="M69" s="359"/>
      <c r="N69" s="359"/>
      <c r="O69" s="359"/>
      <c r="P69" s="359"/>
      <c r="Q69" s="359"/>
      <c r="R69" s="359"/>
      <c r="S69" s="359"/>
    </row>
    <row r="70" spans="1:19" customFormat="1" ht="12.75" customHeight="1" x14ac:dyDescent="0.25">
      <c r="A70" s="324" t="s">
        <v>989</v>
      </c>
      <c r="B70" s="377"/>
      <c r="C70" s="377" t="s">
        <v>1174</v>
      </c>
      <c r="D70" s="394"/>
      <c r="E70" s="394"/>
      <c r="F70" s="395"/>
      <c r="G70" s="395"/>
      <c r="H70" s="396" t="s">
        <v>1160</v>
      </c>
      <c r="I70" s="396" t="s">
        <v>1160</v>
      </c>
      <c r="J70" s="396" t="s">
        <v>1160</v>
      </c>
      <c r="K70" s="344" t="str">
        <f>IF(Title_Page!$B$4="W",SUM(K56-K71),"//////////")</f>
        <v>//////////</v>
      </c>
      <c r="L70" s="396" t="s">
        <v>1160</v>
      </c>
      <c r="M70" s="396" t="s">
        <v>1160</v>
      </c>
      <c r="N70" s="396" t="s">
        <v>1160</v>
      </c>
      <c r="O70" s="344" t="str">
        <f>IF(Title_Page!$B$4="W",SUM(O56-O71),"//////////")</f>
        <v>//////////</v>
      </c>
      <c r="P70" s="396" t="s">
        <v>1160</v>
      </c>
      <c r="Q70" s="396" t="s">
        <v>1160</v>
      </c>
      <c r="R70" s="396" t="s">
        <v>1160</v>
      </c>
      <c r="S70" s="344" t="str">
        <f>IF(Title_Page!$B$4="W",SUM(S56-S71),"//////////")</f>
        <v>//////////</v>
      </c>
    </row>
    <row r="71" spans="1:19" customFormat="1" ht="12.75" customHeight="1" x14ac:dyDescent="0.25">
      <c r="A71" s="324" t="s">
        <v>991</v>
      </c>
      <c r="B71" s="377"/>
      <c r="C71" s="377" t="s">
        <v>1175</v>
      </c>
      <c r="D71" s="394"/>
      <c r="E71" s="394"/>
      <c r="F71" s="395"/>
      <c r="G71" s="395"/>
      <c r="H71" s="396" t="s">
        <v>1160</v>
      </c>
      <c r="I71" s="396" t="s">
        <v>1160</v>
      </c>
      <c r="J71" s="396" t="s">
        <v>1160</v>
      </c>
      <c r="K71" s="397" t="str">
        <f>IF(Title_Page!$B$4="W",0,"//////////")</f>
        <v>//////////</v>
      </c>
      <c r="L71" s="396" t="s">
        <v>1160</v>
      </c>
      <c r="M71" s="396" t="s">
        <v>1160</v>
      </c>
      <c r="N71" s="396" t="s">
        <v>1160</v>
      </c>
      <c r="O71" s="397" t="str">
        <f>IF(Title_Page!$B$4="W",S71,"//////////")</f>
        <v>//////////</v>
      </c>
      <c r="P71" s="396" t="s">
        <v>1160</v>
      </c>
      <c r="Q71" s="396" t="s">
        <v>1160</v>
      </c>
      <c r="R71" s="396" t="s">
        <v>1160</v>
      </c>
      <c r="S71" s="397" t="str">
        <f>IF(Title_Page!$B$4="W",0,"//////////")</f>
        <v>//////////</v>
      </c>
    </row>
    <row r="74" spans="1:19" customFormat="1" ht="12.75" customHeight="1" x14ac:dyDescent="0.25"/>
  </sheetData>
  <sheetProtection algorithmName="SHA-512" hashValue="gbz+kIiCpRC8cN5FrzDtRtvrjSjAM7yfm8AI/JeY5YWQRZHI1cb63nPWEVDn6R3VXf9eCi+gLo6AXZNaKnszew==" saltValue="AFRgUTHOxexWCcImZYumSQ==" spinCount="100000" sheet="1" objects="1" scenarios="1"/>
  <mergeCells count="12">
    <mergeCell ref="P1:S1"/>
    <mergeCell ref="P3:S3"/>
    <mergeCell ref="P4:S4"/>
    <mergeCell ref="P2:S2"/>
    <mergeCell ref="L2:O2"/>
    <mergeCell ref="B1:F1"/>
    <mergeCell ref="H1:K1"/>
    <mergeCell ref="H4:K4"/>
    <mergeCell ref="H3:K3"/>
    <mergeCell ref="L1:O1"/>
    <mergeCell ref="L3:O3"/>
    <mergeCell ref="L4:O4"/>
  </mergeCells>
  <conditionalFormatting sqref="W9">
    <cfRule type="expression" dxfId="66" priority="1">
      <formula>AND(OR((V9)&gt;5,(V9)&lt;-5),(V9)&lt;&gt;"-",OR((U9)&gt;750,(U9)&lt;-750))</formula>
    </cfRule>
  </conditionalFormatting>
  <conditionalFormatting sqref="W10:W15">
    <cfRule type="expression" dxfId="65" priority="2">
      <formula>AND(OR((V10)&gt;5,(V10)&lt;-5),(V10)&lt;&gt;"-",OR((U10)&gt;750,(U10)&lt;-750))</formula>
    </cfRule>
  </conditionalFormatting>
  <conditionalFormatting sqref="W18:W24">
    <cfRule type="expression" dxfId="64" priority="3">
      <formula>AND(OR((V18)&gt;5,(V18)&lt;-5),(V18)&lt;&gt;"-",OR((U18)&gt;750,(U18)&lt;-750))</formula>
    </cfRule>
  </conditionalFormatting>
  <conditionalFormatting sqref="W37:W43">
    <cfRule type="expression" dxfId="63" priority="4">
      <formula>AND(OR((V37)&gt;5,(V37)&lt;-5),(V37)&lt;&gt;"-",OR((U37)&gt;750,(U37)&lt;-750))</formula>
    </cfRule>
  </conditionalFormatting>
  <conditionalFormatting sqref="W49:W55">
    <cfRule type="expression" dxfId="62" priority="5">
      <formula>AND(OR((V49)&gt;5,(V49)&lt;-5),(V49)&lt;&gt;"-",OR((U49)&gt;750,(U49)&lt;-750))</formula>
    </cfRule>
  </conditionalFormatting>
  <conditionalFormatting sqref="W60:W61">
    <cfRule type="expression" dxfId="61" priority="6">
      <formula>AND(OR((V60)&gt;5,(V60)&lt;-5),(V60)&lt;&gt;"-",OR((U60)&gt;750,(U60)&lt;-750))</formula>
    </cfRule>
  </conditionalFormatting>
  <conditionalFormatting sqref="W63:W64">
    <cfRule type="expression" dxfId="60" priority="7">
      <formula>AND(OR((V63)&gt;5,(V63)&lt;-5),(V63)&lt;&gt;"-",OR((U63)&gt;750,(U63)&lt;-750))</formula>
    </cfRule>
  </conditionalFormatting>
  <dataValidations count="83">
    <dataValidation operator="greaterThan" allowBlank="1" showInputMessage="1" showErrorMessage="1" sqref="H786415:S786423"/>
    <dataValidation operator="greaterThan" allowBlank="1" showInputMessage="1" showErrorMessage="1" sqref="H720879:S720887"/>
    <dataValidation operator="greaterThan" allowBlank="1" showInputMessage="1" showErrorMessage="1" sqref="H655343:S655351"/>
    <dataValidation operator="greaterThan" allowBlank="1" showInputMessage="1" showErrorMessage="1" sqref="H589807:S589815"/>
    <dataValidation operator="greaterThan" allowBlank="1" showInputMessage="1" showErrorMessage="1" sqref="H524271:S524279"/>
    <dataValidation operator="greaterThan" allowBlank="1" showInputMessage="1" showErrorMessage="1" sqref="H458735:S458743"/>
    <dataValidation operator="greaterThan" allowBlank="1" showInputMessage="1" showErrorMessage="1" sqref="H393199:S393207"/>
    <dataValidation operator="greaterThan" allowBlank="1" showInputMessage="1" showErrorMessage="1" sqref="H327663:S327671"/>
    <dataValidation operator="greaterThan" allowBlank="1" showInputMessage="1" showErrorMessage="1" sqref="H262127:S262135"/>
    <dataValidation operator="greaterThan" allowBlank="1" showInputMessage="1" showErrorMessage="1" sqref="H196591:S196599"/>
    <dataValidation operator="greaterThan" allowBlank="1" showInputMessage="1" showErrorMessage="1" sqref="H131055:S131063"/>
    <dataValidation operator="greaterThan" allowBlank="1" showInputMessage="1" showErrorMessage="1" sqref="H65519:S65527"/>
    <dataValidation operator="greaterThan" allowBlank="1" showInputMessage="1" showErrorMessage="1" sqref="H983035:S983043"/>
    <dataValidation operator="greaterThan" allowBlank="1" showInputMessage="1" showErrorMessage="1" sqref="H917499:S917507"/>
    <dataValidation operator="greaterThan" allowBlank="1" showInputMessage="1" showErrorMessage="1" sqref="H851963:S851971"/>
    <dataValidation operator="greaterThan" allowBlank="1" showInputMessage="1" showErrorMessage="1" sqref="H786427:S786435"/>
    <dataValidation operator="greaterThan" allowBlank="1" showInputMessage="1" showErrorMessage="1" sqref="H720891:S720899"/>
    <dataValidation operator="greaterThan" allowBlank="1" showInputMessage="1" showErrorMessage="1" sqref="H655355:S655363"/>
    <dataValidation operator="greaterThan" allowBlank="1" showInputMessage="1" showErrorMessage="1" sqref="H589819:S589827"/>
    <dataValidation operator="greaterThan" allowBlank="1" showInputMessage="1" showErrorMessage="1" sqref="H524283:S524291"/>
    <dataValidation operator="greaterThan" allowBlank="1" showInputMessage="1" showErrorMessage="1" sqref="H458747:S458755"/>
    <dataValidation operator="greaterThan" allowBlank="1" showInputMessage="1" showErrorMessage="1" sqref="H393211:S393219"/>
    <dataValidation operator="greaterThan" allowBlank="1" showInputMessage="1" showErrorMessage="1" sqref="H327675:S327683"/>
    <dataValidation operator="greaterThan" allowBlank="1" showInputMessage="1" showErrorMessage="1" sqref="H262139:S262147"/>
    <dataValidation operator="greaterThan" allowBlank="1" showInputMessage="1" showErrorMessage="1" sqref="H196603:S196611"/>
    <dataValidation operator="greaterThan" allowBlank="1" showInputMessage="1" showErrorMessage="1" sqref="H131067:S131075"/>
    <dataValidation operator="greaterThan" allowBlank="1" showInputMessage="1" showErrorMessage="1" sqref="H65531:S65539"/>
    <dataValidation operator="greaterThan" allowBlank="1" showInputMessage="1" showErrorMessage="1" sqref="H983046:S983054"/>
    <dataValidation operator="greaterThan" allowBlank="1" showInputMessage="1" showErrorMessage="1" sqref="H917510:S917518"/>
    <dataValidation operator="greaterThan" allowBlank="1" showInputMessage="1" showErrorMessage="1" sqref="H851974:S851982"/>
    <dataValidation operator="greaterThan" allowBlank="1" showInputMessage="1" showErrorMessage="1" sqref="H786438:S786446"/>
    <dataValidation operator="greaterThan" allowBlank="1" showInputMessage="1" showErrorMessage="1" sqref="H720902:S720910"/>
    <dataValidation operator="greaterThan" allowBlank="1" showInputMessage="1" showErrorMessage="1" sqref="H655366:S655374"/>
    <dataValidation operator="greaterThan" allowBlank="1" showInputMessage="1" showErrorMessage="1" sqref="H589830:S589838"/>
    <dataValidation operator="greaterThan" allowBlank="1" showInputMessage="1" showErrorMessage="1" sqref="H524294:S524302"/>
    <dataValidation operator="greaterThan" allowBlank="1" showInputMessage="1" showErrorMessage="1" sqref="H458758:S458766"/>
    <dataValidation operator="greaterThan" allowBlank="1" showInputMessage="1" showErrorMessage="1" sqref="H393222:S393230"/>
    <dataValidation operator="greaterThan" allowBlank="1" showInputMessage="1" showErrorMessage="1" sqref="H327686:S327694"/>
    <dataValidation operator="greaterThan" allowBlank="1" showInputMessage="1" showErrorMessage="1" sqref="H262150:S262158"/>
    <dataValidation operator="greaterThan" allowBlank="1" showInputMessage="1" showErrorMessage="1" sqref="H196614:S196622"/>
    <dataValidation operator="greaterThan" allowBlank="1" showInputMessage="1" showErrorMessage="1" sqref="H131078:S131086"/>
    <dataValidation operator="greaterThan" allowBlank="1" showInputMessage="1" showErrorMessage="1" sqref="H65542:S65550"/>
    <dataValidation operator="greaterThan" allowBlank="1" showInputMessage="1" showErrorMessage="1" sqref="H983014:S983019"/>
    <dataValidation operator="greaterThan" allowBlank="1" showInputMessage="1" showErrorMessage="1" sqref="H917478:S917483"/>
    <dataValidation operator="greaterThan" allowBlank="1" showInputMessage="1" showErrorMessage="1" sqref="H851942:S851947"/>
    <dataValidation operator="greaterThan" allowBlank="1" showInputMessage="1" showErrorMessage="1" sqref="H786406:S786411"/>
    <dataValidation operator="greaterThan" allowBlank="1" showInputMessage="1" showErrorMessage="1" sqref="H720870:S720875"/>
    <dataValidation operator="greaterThan" allowBlank="1" showInputMessage="1" showErrorMessage="1" sqref="H655334:S655339"/>
    <dataValidation operator="greaterThan" allowBlank="1" showInputMessage="1" showErrorMessage="1" sqref="H589798:S589803"/>
    <dataValidation operator="greaterThan" allowBlank="1" showInputMessage="1" showErrorMessage="1" sqref="H524262:S524267"/>
    <dataValidation operator="greaterThan" allowBlank="1" showInputMessage="1" showErrorMessage="1" sqref="H458726:S458731"/>
    <dataValidation operator="greaterThan" allowBlank="1" showInputMessage="1" showErrorMessage="1" sqref="H393190:S393195"/>
    <dataValidation operator="greaterThan" allowBlank="1" showInputMessage="1" showErrorMessage="1" sqref="H327654:S327659"/>
    <dataValidation operator="greaterThan" allowBlank="1" showInputMessage="1" showErrorMessage="1" sqref="H262118:S262123"/>
    <dataValidation operator="greaterThan" allowBlank="1" showInputMessage="1" showErrorMessage="1" sqref="H196582:S196587"/>
    <dataValidation operator="greaterThan" allowBlank="1" showInputMessage="1" showErrorMessage="1" sqref="H131046:S131051"/>
    <dataValidation operator="greaterThan" allowBlank="1" showInputMessage="1" showErrorMessage="1" sqref="H65510:S65515"/>
    <dataValidation operator="greaterThan" allowBlank="1" showInputMessage="1" showErrorMessage="1" sqref="H983023:S983031"/>
    <dataValidation operator="greaterThan" allowBlank="1" showInputMessage="1" showErrorMessage="1" sqref="H917487:S917495"/>
    <dataValidation operator="greaterThan" allowBlank="1" showInputMessage="1" showErrorMessage="1" sqref="H851951:S851959"/>
    <dataValidation type="whole" operator="greaterThan" allowBlank="1" showInputMessage="1" showErrorMessage="1" errorTitle="Whole numbers only allowed" error="All monies should be independently rounded to the nearest £1,000." sqref="S60:S61">
      <formula1>-999999999</formula1>
    </dataValidation>
    <dataValidation type="whole" operator="greaterThan" allowBlank="1" showInputMessage="1" showErrorMessage="1" errorTitle="Whole numbers only allowed" error="All monies should be independently rounded to the nearest £1,000." sqref="P49:R55">
      <formula1>-999999999</formula1>
    </dataValidation>
    <dataValidation type="whole" operator="greaterThan" allowBlank="1" showInputMessage="1" showErrorMessage="1" errorTitle="Whole numbers only allowed" error="All monies should be independently rounded to the nearest £1,000." sqref="H49:J55">
      <formula1>-999999999</formula1>
    </dataValidation>
    <dataValidation type="whole" operator="greaterThan" allowBlank="1" showInputMessage="1" showErrorMessage="1" errorTitle="Whole numbers only allowed" error="All monies should be independently rounded to the nearest £1,000." sqref="P9:R15">
      <formula1>-999999999</formula1>
    </dataValidation>
    <dataValidation type="whole" operator="greaterThan" allowBlank="1" showInputMessage="1" showErrorMessage="1" errorTitle="Whole numbers only allowed" error="All monies should be independently rounded to the nearest £1,000." sqref="S71">
      <formula1>-999999999</formula1>
    </dataValidation>
    <dataValidation type="whole" operator="greaterThan" allowBlank="1" showInputMessage="1" showErrorMessage="1" errorTitle="Whole numbers only allowed" error="All monies should be independently rounded to the nearest £1,000." sqref="L49:N55">
      <formula1>-999999999</formula1>
    </dataValidation>
    <dataValidation type="whole" operator="greaterThan" allowBlank="1" showInputMessage="1" showErrorMessage="1" errorTitle="Whole numbers only allowed" error="All monies should be independently rounded to the nearest £1,000." sqref="P37:R43">
      <formula1>-999999999</formula1>
    </dataValidation>
    <dataValidation type="whole" operator="greaterThan" allowBlank="1" showInputMessage="1" showErrorMessage="1" errorTitle="Whole numbers only allowed" error="All monies should be independently rounded to the nearest £1,000." sqref="P18:R24">
      <formula1>-999999999</formula1>
    </dataValidation>
    <dataValidation type="whole" operator="greaterThan" allowBlank="1" showInputMessage="1" showErrorMessage="1" errorTitle="Whole numbers only allowed" error="All monies should be independently rounded to the nearest £1,000." sqref="S63:S64">
      <formula1>-999999999</formula1>
    </dataValidation>
    <dataValidation type="whole" operator="greaterThan" allowBlank="1" showInputMessage="1" showErrorMessage="1" errorTitle="Whole numbers only allowed" error="All monies should be independently rounded to the nearest £1,000." sqref="K71">
      <formula1>-999999999</formula1>
    </dataValidation>
    <dataValidation type="whole" operator="greaterThan" allowBlank="1" showInputMessage="1" showErrorMessage="1" errorTitle="Whole numbers only allowed" error="All monies should be independently rounded to the nearest £1,000." sqref="O71">
      <formula1>-999999999</formula1>
    </dataValidation>
    <dataValidation type="whole" operator="greaterThan" allowBlank="1" showInputMessage="1" showErrorMessage="1" errorTitle="Whole numbers only allowed" error="All monies should be independently rounded to the nearest £1,000." sqref="H9:J15">
      <formula1>-999999999</formula1>
    </dataValidation>
    <dataValidation type="whole" operator="greaterThan" allowBlank="1" showInputMessage="1" showErrorMessage="1" errorTitle="Whole numbers only allowed" error="All monies should be independently rounded to the nearest £1,000." sqref="L9:N15">
      <formula1>-999999999</formula1>
    </dataValidation>
    <dataValidation type="whole" operator="greaterThan" allowBlank="1" showInputMessage="1" showErrorMessage="1" errorTitle="Whole numbers only allowed" error="All monies should be independently rounded to the nearest £1,000." sqref="H18:J24">
      <formula1>-999999999</formula1>
    </dataValidation>
    <dataValidation type="whole" operator="greaterThan" allowBlank="1" showInputMessage="1" showErrorMessage="1" errorTitle="Whole numbers only allowed" error="All monies should be independently rounded to the nearest £1,000." sqref="L18:N24">
      <formula1>-999999999</formula1>
    </dataValidation>
    <dataValidation type="whole" operator="greaterThan" allowBlank="1" showInputMessage="1" showErrorMessage="1" errorTitle="Whole numbers only allowed" error="All monies should be independently rounded to the nearest £1,000." sqref="H37:J43">
      <formula1>-999999999</formula1>
    </dataValidation>
    <dataValidation type="whole" operator="greaterThan" allowBlank="1" showInputMessage="1" showErrorMessage="1" errorTitle="Whole numbers only allowed" error="All monies should be independently rounded to the nearest £1,000." sqref="L37:N43">
      <formula1>-999999999</formula1>
    </dataValidation>
    <dataValidation type="whole" operator="greaterThan" allowBlank="1" showInputMessage="1" showErrorMessage="1" errorTitle="Whole numbers only allowed" error="All monies should be independently rounded to the nearest £1,000." sqref="O49:O55">
      <formula1>-999999999</formula1>
    </dataValidation>
    <dataValidation type="whole" operator="greaterThan" allowBlank="1" showInputMessage="1" showErrorMessage="1" errorTitle="Whole numbers only allowed" error="All monies should be independently rounded to the nearest £1,000." sqref="K49:K55">
      <formula1>-999999999</formula1>
    </dataValidation>
    <dataValidation type="whole" operator="greaterThan" allowBlank="1" showInputMessage="1" showErrorMessage="1" errorTitle="Whole numbers only allowed" error="All monies should be independently rounded to the nearest £1,000." sqref="K60:K61">
      <formula1>-999999999</formula1>
    </dataValidation>
    <dataValidation type="whole" operator="greaterThan" allowBlank="1" showInputMessage="1" showErrorMessage="1" errorTitle="Whole numbers only allowed" error="All monies should be independently rounded to the nearest £1,000." sqref="O60:O61">
      <formula1>-999999999</formula1>
    </dataValidation>
    <dataValidation type="whole" operator="greaterThan" allowBlank="1" showInputMessage="1" showErrorMessage="1" errorTitle="Whole numbers only allowed" error="All monies should be independently rounded to the nearest £1,000." sqref="O63:O64">
      <formula1>-999999999</formula1>
    </dataValidation>
    <dataValidation type="whole" operator="greaterThan" allowBlank="1" showInputMessage="1" showErrorMessage="1" errorTitle="Whole numbers only allowed" error="All monies should be independently rounded to the nearest £1,000." sqref="K63:K64">
      <formula1>-999999999</formula1>
    </dataValidation>
  </dataValidations>
  <printOptions headings="1" gridLines="1"/>
  <pageMargins left="0.31496062992125984" right="0.31496062992125984" top="0.74803149606299213" bottom="0.74803149606299213" header="0.31496062992125984" footer="0.31496062992125984"/>
  <pageSetup paperSize="8" scale="51" orientation="landscape" r:id="rId1"/>
  <extLst>
    <ext xmlns:x14="http://schemas.microsoft.com/office/spreadsheetml/2009/9/main" uri="{78C0D931-6437-407d-A8EE-F0AAD7539E65}">
      <x14:conditionalFormattings>
        <x14:conditionalFormatting xmlns:xm="http://schemas.microsoft.com/office/excel/2006/main">
          <x14:cfRule type="expression" priority="567" id="{2530C9E5-7D9A-45A2-9538-DA0D366DD6BB}">
            <xm:f>AND(Title_Page!$B$4&lt;&gt;"W",K70&lt;&gt;"//////////")</xm:f>
            <x14:dxf>
              <fill>
                <patternFill>
                  <bgColor rgb="FFFF0000"/>
                </patternFill>
              </fill>
            </x14:dxf>
          </x14:cfRule>
          <x14:cfRule type="expression" priority="568" id="{DBC6892E-7A73-4EBC-89E4-98C44C4DB343}">
            <xm:f>Title_Page!$B$4&lt;&gt;"W"</xm:f>
            <x14:dxf>
              <font>
                <color theme="1"/>
              </font>
            </x14:dxf>
          </x14:cfRule>
          <xm:sqref>K70</xm:sqref>
        </x14:conditionalFormatting>
        <x14:conditionalFormatting xmlns:xm="http://schemas.microsoft.com/office/excel/2006/main">
          <x14:cfRule type="expression" priority="419" id="{1A232DBB-7134-43E0-B26C-5D909EE96CD1}">
            <xm:f>AND(Title_Page!$B$4&lt;&gt;"W",K71&lt;&gt;"//////////")</xm:f>
            <x14:dxf>
              <fill>
                <patternFill>
                  <bgColor rgb="FFFF0000"/>
                </patternFill>
              </fill>
            </x14:dxf>
          </x14:cfRule>
          <x14:cfRule type="expression" priority="420" id="{C4BADDF9-05AD-4718-8312-8B79E6597FEA}">
            <xm:f>Title_Page!$B$4&lt;&gt;"W"</xm:f>
            <x14:dxf>
              <font>
                <color theme="1"/>
              </font>
            </x14:dxf>
          </x14:cfRule>
          <xm:sqref>K71</xm:sqref>
        </x14:conditionalFormatting>
        <x14:conditionalFormatting xmlns:xm="http://schemas.microsoft.com/office/excel/2006/main">
          <x14:cfRule type="expression" priority="217" id="{3330C7EE-1C69-4884-BFD1-E0C37B07CFE4}">
            <xm:f>AND(Title_Page!$B$4&lt;&gt;"W",O71&lt;&gt;"//////////")</xm:f>
            <x14:dxf>
              <fill>
                <patternFill>
                  <bgColor rgb="FFFF0000"/>
                </patternFill>
              </fill>
            </x14:dxf>
          </x14:cfRule>
          <x14:cfRule type="expression" priority="218" id="{8317D3D9-B28E-4657-B220-D2D6C7CFB839}">
            <xm:f>Title_Page!$B$4&lt;&gt;"W"</xm:f>
            <x14:dxf>
              <font>
                <color theme="1"/>
              </font>
            </x14:dxf>
          </x14:cfRule>
          <xm:sqref>O71</xm:sqref>
        </x14:conditionalFormatting>
        <x14:conditionalFormatting xmlns:xm="http://schemas.microsoft.com/office/excel/2006/main">
          <x14:cfRule type="expression" priority="17" id="{4E6FB801-0443-4AC8-8809-7F70DEB5A88B}">
            <xm:f>AND(Title_Page!$B$4&lt;&gt;"W",O70&lt;&gt;"//////////")</xm:f>
            <x14:dxf>
              <fill>
                <patternFill>
                  <bgColor rgb="FFFF0000"/>
                </patternFill>
              </fill>
            </x14:dxf>
          </x14:cfRule>
          <x14:cfRule type="expression" priority="18" id="{1AB3A014-557C-46FD-A521-647C53621B48}">
            <xm:f>Title_Page!$B$4&lt;&gt;"W"</xm:f>
            <x14:dxf>
              <font>
                <color theme="1"/>
              </font>
            </x14:dxf>
          </x14:cfRule>
          <xm:sqref>O70</xm:sqref>
        </x14:conditionalFormatting>
        <x14:conditionalFormatting xmlns:xm="http://schemas.microsoft.com/office/excel/2006/main">
          <x14:cfRule type="expression" priority="569" id="{F89FC9F0-0172-47D3-AFC4-7AAF40249B28}">
            <xm:f>AND(Title_Page!$B$4&lt;&gt;"W",S71&lt;&gt;"//////////")</xm:f>
            <x14:dxf>
              <fill>
                <patternFill>
                  <bgColor rgb="FFFF0000"/>
                </patternFill>
              </fill>
            </x14:dxf>
          </x14:cfRule>
          <x14:cfRule type="expression" priority="569" id="{ACEC74E6-6E0E-44A7-8613-72ADBE7F82DF}">
            <xm:f>Title_Page!$B$4&lt;&gt;"W"</xm:f>
            <x14:dxf>
              <font>
                <color theme="1"/>
              </font>
            </x14:dxf>
          </x14:cfRule>
          <xm:sqref>S71</xm:sqref>
        </x14:conditionalFormatting>
        <x14:conditionalFormatting xmlns:xm="http://schemas.microsoft.com/office/excel/2006/main">
          <x14:cfRule type="expression" priority="570" id="{07DA329D-FA1E-428B-942A-CD337B3E5E39}">
            <xm:f>AND(Title_Page!$B$4&lt;&gt;"W",S70&lt;&gt;"//////////")</xm:f>
            <x14:dxf>
              <fill>
                <patternFill>
                  <bgColor rgb="FFFF0000"/>
                </patternFill>
              </fill>
            </x14:dxf>
          </x14:cfRule>
          <x14:cfRule type="expression" priority="570" id="{5DCFB61D-A584-4517-97A8-C1922EA5FF93}">
            <xm:f>Title_Page!$B$4&lt;&gt;"W"</xm:f>
            <x14:dxf>
              <font>
                <color theme="1"/>
              </font>
            </x14:dxf>
          </x14:cfRule>
          <xm:sqref>S70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W63:W64 W9:W15 W18:W24 W49:W55 W37:W43 W60:W61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8"/>
  <sheetViews>
    <sheetView zoomScaleNormal="100" workbookViewId="0">
      <pane ySplit="5" topLeftCell="A36" activePane="bottomLeft" state="frozenSplit"/>
      <selection activeCell="H20" sqref="H20 H20"/>
      <selection pane="bottomLeft" activeCell="H60" sqref="H60:H62"/>
    </sheetView>
  </sheetViews>
  <sheetFormatPr defaultColWidth="9.85546875" defaultRowHeight="12.75" x14ac:dyDescent="0.2"/>
  <cols>
    <col min="1" max="1" width="10" style="398" bestFit="1" customWidth="1"/>
    <col min="2" max="2" width="2.7109375" style="313" customWidth="1"/>
    <col min="3" max="3" width="2.85546875" style="313" customWidth="1"/>
    <col min="4" max="4" width="87.42578125" style="313" customWidth="1"/>
    <col min="5" max="6" width="2.140625" style="313" hidden="1" customWidth="1"/>
    <col min="7" max="7" width="2.42578125" style="313" hidden="1" customWidth="1"/>
    <col min="8" max="8" width="16.5703125" style="313" customWidth="1"/>
    <col min="9" max="9" width="8.42578125" style="313" customWidth="1"/>
    <col min="10" max="12" width="17.7109375" style="313" customWidth="1"/>
    <col min="13" max="13" width="9.85546875" style="313" customWidth="1"/>
    <col min="14" max="16384" width="9.85546875" style="313"/>
  </cols>
  <sheetData>
    <row r="1" spans="1:10" customFormat="1" ht="15.4" customHeight="1" x14ac:dyDescent="0.25">
      <c r="A1" s="404" t="s">
        <v>1176</v>
      </c>
      <c r="B1" s="405" t="s">
        <v>1177</v>
      </c>
      <c r="C1" s="405"/>
      <c r="D1" s="405"/>
      <c r="E1" s="405"/>
      <c r="F1" s="405"/>
      <c r="G1" s="405"/>
      <c r="H1" s="406"/>
    </row>
    <row r="2" spans="1:10" customFormat="1" ht="15" customHeight="1" x14ac:dyDescent="0.25">
      <c r="A2" s="407"/>
      <c r="B2" s="408"/>
      <c r="C2" s="408"/>
      <c r="D2" s="408"/>
      <c r="E2" s="408"/>
      <c r="F2" s="408"/>
      <c r="G2" s="408"/>
      <c r="H2" s="409"/>
    </row>
    <row r="3" spans="1:10" customFormat="1" ht="9" customHeight="1" x14ac:dyDescent="0.25">
      <c r="A3" s="407"/>
      <c r="B3" s="408"/>
      <c r="C3" s="408"/>
      <c r="D3" s="408"/>
      <c r="E3" s="408"/>
      <c r="F3" s="408"/>
      <c r="G3" s="408"/>
      <c r="H3" s="409"/>
    </row>
    <row r="4" spans="1:10" customFormat="1" ht="8.25" customHeight="1" x14ac:dyDescent="0.25">
      <c r="A4" s="407"/>
      <c r="B4" s="410"/>
      <c r="C4" s="410"/>
      <c r="D4" s="410"/>
      <c r="E4" s="410"/>
      <c r="F4" s="410"/>
      <c r="G4" s="410"/>
      <c r="H4" s="409"/>
    </row>
    <row r="5" spans="1:10" customFormat="1" ht="15.4" customHeight="1" x14ac:dyDescent="0.25">
      <c r="A5" s="407"/>
      <c r="B5" s="411"/>
      <c r="C5" s="411"/>
      <c r="D5" s="411"/>
      <c r="E5" s="411"/>
      <c r="F5" s="411"/>
      <c r="G5" s="411"/>
      <c r="H5" s="289" t="s">
        <v>784</v>
      </c>
    </row>
    <row r="6" spans="1:10" customFormat="1" ht="12.75" customHeight="1" x14ac:dyDescent="0.25">
      <c r="A6" s="324">
        <v>1</v>
      </c>
      <c r="B6" s="248" t="s">
        <v>790</v>
      </c>
      <c r="C6" s="335"/>
      <c r="D6" s="335"/>
      <c r="E6" s="335"/>
      <c r="F6" s="335"/>
      <c r="G6" s="250"/>
      <c r="H6" s="399">
        <f>Table_6_UK!K67</f>
        <v>346850</v>
      </c>
    </row>
    <row r="7" spans="1:10" customFormat="1" ht="12.75" customHeight="1" x14ac:dyDescent="0.25">
      <c r="A7" s="324"/>
      <c r="B7" s="248"/>
      <c r="C7" s="335"/>
      <c r="D7" s="335"/>
      <c r="E7" s="335"/>
      <c r="F7" s="335"/>
      <c r="G7" s="250"/>
      <c r="H7" s="399"/>
    </row>
    <row r="8" spans="1:10" customFormat="1" ht="12.75" customHeight="1" x14ac:dyDescent="0.25">
      <c r="A8" s="324">
        <v>2</v>
      </c>
      <c r="B8" s="389" t="s">
        <v>792</v>
      </c>
      <c r="C8" s="390"/>
      <c r="D8" s="390"/>
      <c r="E8" s="390"/>
      <c r="F8" s="390"/>
      <c r="G8" s="391"/>
      <c r="H8" s="346">
        <f>IF(Title_Page!B4="W",Table_7_Wales!H15,IF(Title_Page!B4="S",Table_7_Scotland!H13,IF(Title_Page!B4="N",Table_7_N_Ireland!H10,0)))</f>
        <v>195819</v>
      </c>
    </row>
    <row r="9" spans="1:10" customFormat="1" ht="12.75" customHeight="1" x14ac:dyDescent="0.25">
      <c r="A9" s="324"/>
      <c r="B9" s="389"/>
      <c r="C9" s="390"/>
      <c r="D9" s="390"/>
      <c r="E9" s="390"/>
      <c r="F9" s="390"/>
      <c r="G9" s="391"/>
      <c r="H9" s="412"/>
    </row>
    <row r="10" spans="1:10" customFormat="1" ht="12.75" customHeight="1" x14ac:dyDescent="0.25">
      <c r="A10" s="324">
        <v>3</v>
      </c>
      <c r="B10" s="325" t="s">
        <v>794</v>
      </c>
      <c r="C10" s="326"/>
      <c r="D10" s="326"/>
      <c r="E10" s="326"/>
      <c r="F10" s="326"/>
      <c r="G10" s="327"/>
      <c r="H10" s="333"/>
      <c r="J10" s="313"/>
    </row>
    <row r="11" spans="1:10" customFormat="1" ht="12.75" customHeight="1" x14ac:dyDescent="0.25">
      <c r="A11" s="324" t="s">
        <v>876</v>
      </c>
      <c r="B11" s="385"/>
      <c r="C11" s="336" t="s">
        <v>1178</v>
      </c>
      <c r="D11" s="413"/>
      <c r="E11" s="413"/>
      <c r="F11" s="413"/>
      <c r="G11" s="414"/>
      <c r="H11" s="415"/>
    </row>
    <row r="12" spans="1:10" customFormat="1" ht="12.75" customHeight="1" x14ac:dyDescent="0.25">
      <c r="A12" s="324" t="s">
        <v>1137</v>
      </c>
      <c r="B12" s="334"/>
      <c r="C12" s="335"/>
      <c r="D12" s="336" t="s">
        <v>1179</v>
      </c>
      <c r="E12" s="335"/>
      <c r="F12" s="335"/>
      <c r="G12" s="337"/>
      <c r="H12" s="399">
        <f>Table_5_UK!H61</f>
        <v>21800</v>
      </c>
    </row>
    <row r="13" spans="1:10" customFormat="1" ht="12.75" customHeight="1" x14ac:dyDescent="0.25">
      <c r="A13" s="324" t="s">
        <v>1139</v>
      </c>
      <c r="B13" s="334"/>
      <c r="C13" s="335"/>
      <c r="D13" s="336" t="s">
        <v>1180</v>
      </c>
      <c r="E13" s="335"/>
      <c r="F13" s="335"/>
      <c r="G13" s="337"/>
      <c r="H13" s="399">
        <f>Table_5_UK!I61</f>
        <v>34056</v>
      </c>
    </row>
    <row r="14" spans="1:10" customFormat="1" ht="12.75" customHeight="1" x14ac:dyDescent="0.25">
      <c r="A14" s="324" t="s">
        <v>1141</v>
      </c>
      <c r="B14" s="334"/>
      <c r="C14" s="335"/>
      <c r="D14" s="336" t="s">
        <v>1181</v>
      </c>
      <c r="E14" s="335"/>
      <c r="F14" s="335"/>
      <c r="G14" s="337"/>
      <c r="H14" s="399">
        <f>Table_5_UK!J61</f>
        <v>6644</v>
      </c>
    </row>
    <row r="15" spans="1:10" customFormat="1" ht="12.75" customHeight="1" x14ac:dyDescent="0.25">
      <c r="A15" s="324" t="s">
        <v>1143</v>
      </c>
      <c r="B15" s="334"/>
      <c r="C15" s="335"/>
      <c r="D15" s="336" t="s">
        <v>1182</v>
      </c>
      <c r="E15" s="335"/>
      <c r="F15" s="335"/>
      <c r="G15" s="337"/>
      <c r="H15" s="399">
        <f>Table_5_UK!K61</f>
        <v>27935</v>
      </c>
    </row>
    <row r="16" spans="1:10" customFormat="1" ht="12.75" customHeight="1" x14ac:dyDescent="0.25">
      <c r="A16" s="324" t="s">
        <v>1145</v>
      </c>
      <c r="B16" s="334"/>
      <c r="C16" s="335"/>
      <c r="D16" s="336" t="s">
        <v>1183</v>
      </c>
      <c r="E16" s="335"/>
      <c r="F16" s="335"/>
      <c r="G16" s="337"/>
      <c r="H16" s="399">
        <f>Table_5_UK!L61</f>
        <v>9106</v>
      </c>
    </row>
    <row r="17" spans="1:8" customFormat="1" ht="12.75" customHeight="1" x14ac:dyDescent="0.25">
      <c r="A17" s="324" t="s">
        <v>1147</v>
      </c>
      <c r="B17" s="334"/>
      <c r="C17" s="335"/>
      <c r="D17" s="336" t="s">
        <v>1184</v>
      </c>
      <c r="E17" s="335"/>
      <c r="F17" s="335"/>
      <c r="G17" s="337"/>
      <c r="H17" s="399">
        <f>Table_5_UK!M61</f>
        <v>1642</v>
      </c>
    </row>
    <row r="18" spans="1:8" customFormat="1" ht="12.75" customHeight="1" x14ac:dyDescent="0.25">
      <c r="A18" s="324" t="s">
        <v>1149</v>
      </c>
      <c r="B18" s="334"/>
      <c r="C18" s="335"/>
      <c r="D18" s="336" t="s">
        <v>1185</v>
      </c>
      <c r="E18" s="335"/>
      <c r="F18" s="335"/>
      <c r="G18" s="337"/>
      <c r="H18" s="399">
        <f>Table_5_UK!N61</f>
        <v>10955</v>
      </c>
    </row>
    <row r="19" spans="1:8" customFormat="1" ht="12.75" customHeight="1" x14ac:dyDescent="0.25">
      <c r="A19" s="324" t="s">
        <v>1151</v>
      </c>
      <c r="B19" s="334"/>
      <c r="C19" s="335"/>
      <c r="D19" s="336" t="s">
        <v>1186</v>
      </c>
      <c r="E19" s="335"/>
      <c r="F19" s="335"/>
      <c r="G19" s="337"/>
      <c r="H19" s="399">
        <f>Table_5_UK!O61</f>
        <v>66</v>
      </c>
    </row>
    <row r="20" spans="1:8" customFormat="1" ht="12.75" customHeight="1" x14ac:dyDescent="0.25">
      <c r="A20" s="324" t="s">
        <v>1187</v>
      </c>
      <c r="B20" s="400"/>
      <c r="C20" s="401"/>
      <c r="D20" s="402" t="s">
        <v>163</v>
      </c>
      <c r="E20" s="401"/>
      <c r="F20" s="401"/>
      <c r="G20" s="403"/>
      <c r="H20" s="399">
        <f>Table_5_UK!P61</f>
        <v>1382</v>
      </c>
    </row>
    <row r="21" spans="1:8" x14ac:dyDescent="0.2">
      <c r="A21" s="324" t="s">
        <v>1188</v>
      </c>
      <c r="B21" s="375"/>
      <c r="C21" s="376" t="s">
        <v>1189</v>
      </c>
      <c r="D21" s="416"/>
      <c r="E21" s="416"/>
      <c r="F21" s="416"/>
      <c r="G21" s="417"/>
      <c r="H21" s="418">
        <f>SUM(H12:H20)</f>
        <v>113586</v>
      </c>
    </row>
    <row r="22" spans="1:8" customFormat="1" ht="12.75" customHeight="1" x14ac:dyDescent="0.25">
      <c r="A22" s="324" t="s">
        <v>878</v>
      </c>
      <c r="B22" s="385"/>
      <c r="C22" s="336" t="s">
        <v>1022</v>
      </c>
      <c r="D22" s="419"/>
      <c r="E22" s="419"/>
      <c r="F22" s="419"/>
      <c r="G22" s="420"/>
      <c r="H22" s="399">
        <f>Table_5_UK!R61</f>
        <v>65049</v>
      </c>
    </row>
    <row r="23" spans="1:8" customFormat="1" ht="12.75" customHeight="1" x14ac:dyDescent="0.25">
      <c r="A23" s="324" t="s">
        <v>880</v>
      </c>
      <c r="B23" s="385"/>
      <c r="C23" s="336" t="s">
        <v>1023</v>
      </c>
      <c r="D23" s="419"/>
      <c r="E23" s="419"/>
      <c r="F23" s="419"/>
      <c r="G23" s="420"/>
      <c r="H23" s="399">
        <f>Table_5_UK!S61</f>
        <v>437</v>
      </c>
    </row>
    <row r="24" spans="1:8" customFormat="1" ht="12.75" customHeight="1" x14ac:dyDescent="0.25">
      <c r="A24" s="324" t="s">
        <v>882</v>
      </c>
      <c r="B24" s="385"/>
      <c r="C24" s="336" t="s">
        <v>1024</v>
      </c>
      <c r="D24" s="419"/>
      <c r="E24" s="419"/>
      <c r="F24" s="419"/>
      <c r="G24" s="420"/>
      <c r="H24" s="399">
        <f>Table_5_UK!T61</f>
        <v>30501</v>
      </c>
    </row>
    <row r="25" spans="1:8" customFormat="1" ht="12.75" customHeight="1" x14ac:dyDescent="0.25">
      <c r="A25" s="324" t="s">
        <v>884</v>
      </c>
      <c r="B25" s="385"/>
      <c r="C25" s="336" t="s">
        <v>1025</v>
      </c>
      <c r="D25" s="419"/>
      <c r="E25" s="419"/>
      <c r="F25" s="419"/>
      <c r="G25" s="420"/>
      <c r="H25" s="399">
        <f>Table_5_UK!U61</f>
        <v>0</v>
      </c>
    </row>
    <row r="26" spans="1:8" customFormat="1" ht="12.75" customHeight="1" x14ac:dyDescent="0.25">
      <c r="A26" s="324" t="s">
        <v>886</v>
      </c>
      <c r="B26" s="385"/>
      <c r="C26" s="336" t="s">
        <v>1026</v>
      </c>
      <c r="D26" s="419"/>
      <c r="E26" s="419"/>
      <c r="F26" s="419"/>
      <c r="G26" s="420"/>
      <c r="H26" s="399">
        <f>Table_5_UK!V61</f>
        <v>8803</v>
      </c>
    </row>
    <row r="27" spans="1:8" customFormat="1" ht="12.75" customHeight="1" x14ac:dyDescent="0.25">
      <c r="A27" s="324" t="s">
        <v>888</v>
      </c>
      <c r="B27" s="385"/>
      <c r="C27" s="336" t="s">
        <v>1027</v>
      </c>
      <c r="D27" s="419"/>
      <c r="E27" s="419"/>
      <c r="F27" s="419"/>
      <c r="G27" s="420"/>
      <c r="H27" s="399">
        <f>Table_5_UK!W61</f>
        <v>6233</v>
      </c>
    </row>
    <row r="28" spans="1:8" customFormat="1" ht="12.75" customHeight="1" x14ac:dyDescent="0.25">
      <c r="A28" s="324" t="s">
        <v>1190</v>
      </c>
      <c r="B28" s="385"/>
      <c r="C28" s="336" t="s">
        <v>1028</v>
      </c>
      <c r="D28" s="419"/>
      <c r="E28" s="419"/>
      <c r="F28" s="419"/>
      <c r="G28" s="420"/>
      <c r="H28" s="399">
        <f>Table_5_UK!X61</f>
        <v>36354</v>
      </c>
    </row>
    <row r="29" spans="1:8" customFormat="1" ht="12.75" customHeight="1" x14ac:dyDescent="0.25">
      <c r="A29" s="324" t="s">
        <v>1191</v>
      </c>
      <c r="B29" s="385"/>
      <c r="C29" s="336" t="s">
        <v>1029</v>
      </c>
      <c r="D29" s="419"/>
      <c r="E29" s="419"/>
      <c r="F29" s="419"/>
      <c r="G29" s="420"/>
      <c r="H29" s="399">
        <f>Table_5_UK!Y61</f>
        <v>198</v>
      </c>
    </row>
    <row r="30" spans="1:8" customFormat="1" ht="12.75" customHeight="1" x14ac:dyDescent="0.25">
      <c r="A30" s="324" t="s">
        <v>1192</v>
      </c>
      <c r="B30" s="385"/>
      <c r="C30" s="336" t="s">
        <v>1030</v>
      </c>
      <c r="D30" s="419"/>
      <c r="E30" s="419"/>
      <c r="F30" s="419"/>
      <c r="G30" s="420"/>
      <c r="H30" s="399">
        <f>Table_5_UK!Z61</f>
        <v>2620</v>
      </c>
    </row>
    <row r="31" spans="1:8" customFormat="1" ht="12.75" customHeight="1" x14ac:dyDescent="0.25">
      <c r="A31" s="324" t="s">
        <v>1193</v>
      </c>
      <c r="B31" s="385"/>
      <c r="C31" s="336" t="s">
        <v>1031</v>
      </c>
      <c r="D31" s="419"/>
      <c r="E31" s="419"/>
      <c r="F31" s="419"/>
      <c r="G31" s="420"/>
      <c r="H31" s="399">
        <f>Table_5_UK!AA61</f>
        <v>1068</v>
      </c>
    </row>
    <row r="32" spans="1:8" customFormat="1" ht="12.75" customHeight="1" x14ac:dyDescent="0.25">
      <c r="A32" s="324" t="s">
        <v>1194</v>
      </c>
      <c r="B32" s="385"/>
      <c r="C32" s="336" t="s">
        <v>1032</v>
      </c>
      <c r="D32" s="419"/>
      <c r="E32" s="419"/>
      <c r="F32" s="419"/>
      <c r="G32" s="420"/>
      <c r="H32" s="399">
        <f>Table_5_UK!AB61</f>
        <v>6498</v>
      </c>
    </row>
    <row r="33" spans="1:8" customFormat="1" ht="12.75" customHeight="1" x14ac:dyDescent="0.25">
      <c r="A33" s="324" t="s">
        <v>1195</v>
      </c>
      <c r="B33" s="385"/>
      <c r="C33" s="336" t="s">
        <v>1033</v>
      </c>
      <c r="D33" s="419"/>
      <c r="E33" s="419"/>
      <c r="F33" s="419"/>
      <c r="G33" s="420"/>
      <c r="H33" s="399">
        <f>Table_5_UK!AC61</f>
        <v>5104</v>
      </c>
    </row>
    <row r="34" spans="1:8" customFormat="1" ht="12.75" customHeight="1" x14ac:dyDescent="0.25">
      <c r="A34" s="324" t="s">
        <v>1196</v>
      </c>
      <c r="B34" s="385"/>
      <c r="C34" s="336" t="s">
        <v>1034</v>
      </c>
      <c r="D34" s="419"/>
      <c r="E34" s="419"/>
      <c r="F34" s="419"/>
      <c r="G34" s="420"/>
      <c r="H34" s="399">
        <f>Table_5_UK!AD61</f>
        <v>9203</v>
      </c>
    </row>
    <row r="35" spans="1:8" customFormat="1" ht="12.75" customHeight="1" x14ac:dyDescent="0.25">
      <c r="A35" s="324" t="s">
        <v>1197</v>
      </c>
      <c r="B35" s="393" t="s">
        <v>1198</v>
      </c>
      <c r="C35" s="377"/>
      <c r="D35" s="377"/>
      <c r="E35" s="377"/>
      <c r="F35" s="377"/>
      <c r="G35" s="378"/>
      <c r="H35" s="418">
        <f>SUM(H21:H34)</f>
        <v>285654</v>
      </c>
    </row>
    <row r="36" spans="1:8" customFormat="1" ht="12.75" customHeight="1" x14ac:dyDescent="0.25">
      <c r="A36" s="324"/>
      <c r="B36" s="389"/>
      <c r="C36" s="390"/>
      <c r="D36" s="390"/>
      <c r="E36" s="390"/>
      <c r="F36" s="390"/>
      <c r="G36" s="391"/>
      <c r="H36" s="412"/>
    </row>
    <row r="37" spans="1:8" customFormat="1" ht="12.75" customHeight="1" x14ac:dyDescent="0.25">
      <c r="A37" s="324">
        <v>4</v>
      </c>
      <c r="B37" s="325" t="s">
        <v>796</v>
      </c>
      <c r="C37" s="326"/>
      <c r="D37" s="326"/>
      <c r="E37" s="326"/>
      <c r="F37" s="326"/>
      <c r="G37" s="327"/>
      <c r="H37" s="333"/>
    </row>
    <row r="38" spans="1:8" customFormat="1" ht="12.75" customHeight="1" x14ac:dyDescent="0.25">
      <c r="A38" s="324" t="s">
        <v>1166</v>
      </c>
      <c r="B38" s="385"/>
      <c r="C38" s="336" t="s">
        <v>1199</v>
      </c>
      <c r="D38" s="419"/>
      <c r="E38" s="419"/>
      <c r="F38" s="419"/>
      <c r="G38" s="420"/>
      <c r="H38" s="412"/>
    </row>
    <row r="39" spans="1:8" customFormat="1" ht="24.75" customHeight="1" x14ac:dyDescent="0.25">
      <c r="A39" s="324" t="s">
        <v>1137</v>
      </c>
      <c r="B39" s="334"/>
      <c r="C39" s="401"/>
      <c r="D39" s="402" t="s">
        <v>1200</v>
      </c>
      <c r="E39" s="401"/>
      <c r="F39" s="401"/>
      <c r="G39" s="403"/>
      <c r="H39" s="421">
        <v>2879</v>
      </c>
    </row>
    <row r="40" spans="1:8" x14ac:dyDescent="0.2">
      <c r="A40" s="324" t="s">
        <v>1139</v>
      </c>
      <c r="B40" s="334"/>
      <c r="C40" s="401"/>
      <c r="D40" s="402" t="s">
        <v>1201</v>
      </c>
      <c r="E40" s="401"/>
      <c r="F40" s="401"/>
      <c r="G40" s="403"/>
      <c r="H40" s="421">
        <v>0</v>
      </c>
    </row>
    <row r="41" spans="1:8" customFormat="1" ht="12.75" customHeight="1" x14ac:dyDescent="0.25">
      <c r="A41" s="324" t="s">
        <v>1141</v>
      </c>
      <c r="B41" s="334"/>
      <c r="C41" s="335"/>
      <c r="D41" s="336" t="s">
        <v>163</v>
      </c>
      <c r="E41" s="335"/>
      <c r="F41" s="335"/>
      <c r="G41" s="337"/>
      <c r="H41" s="421">
        <v>34297</v>
      </c>
    </row>
    <row r="42" spans="1:8" customFormat="1" ht="12.75" customHeight="1" x14ac:dyDescent="0.25">
      <c r="A42" s="324" t="s">
        <v>1143</v>
      </c>
      <c r="B42" s="422"/>
      <c r="C42" s="376" t="s">
        <v>1202</v>
      </c>
      <c r="D42" s="423"/>
      <c r="E42" s="423"/>
      <c r="F42" s="423"/>
      <c r="G42" s="424"/>
      <c r="H42" s="418">
        <f>SUM(H39:H41)</f>
        <v>37176</v>
      </c>
    </row>
    <row r="43" spans="1:8" customFormat="1" ht="12.75" customHeight="1" x14ac:dyDescent="0.25">
      <c r="A43" s="324" t="s">
        <v>1168</v>
      </c>
      <c r="B43" s="385"/>
      <c r="C43" s="336" t="s">
        <v>1203</v>
      </c>
      <c r="D43" s="419"/>
      <c r="E43" s="419"/>
      <c r="F43" s="419"/>
      <c r="G43" s="420"/>
      <c r="H43" s="425"/>
    </row>
    <row r="44" spans="1:8" customFormat="1" ht="12.75" customHeight="1" x14ac:dyDescent="0.25">
      <c r="A44" s="324" t="s">
        <v>1137</v>
      </c>
      <c r="B44" s="334"/>
      <c r="C44" s="335"/>
      <c r="D44" s="336" t="s">
        <v>1204</v>
      </c>
      <c r="E44" s="335"/>
      <c r="F44" s="335"/>
      <c r="G44" s="337"/>
      <c r="H44" s="421">
        <v>68367</v>
      </c>
    </row>
    <row r="45" spans="1:8" customFormat="1" ht="12.75" customHeight="1" x14ac:dyDescent="0.25">
      <c r="A45" s="324" t="s">
        <v>1139</v>
      </c>
      <c r="B45" s="334"/>
      <c r="C45" s="335"/>
      <c r="D45" s="336" t="s">
        <v>1205</v>
      </c>
      <c r="E45" s="335"/>
      <c r="F45" s="335"/>
      <c r="G45" s="337"/>
      <c r="H45" s="421">
        <v>10820</v>
      </c>
    </row>
    <row r="46" spans="1:8" customFormat="1" ht="12.75" customHeight="1" x14ac:dyDescent="0.25">
      <c r="A46" s="324" t="s">
        <v>1141</v>
      </c>
      <c r="B46" s="422"/>
      <c r="C46" s="376" t="s">
        <v>1206</v>
      </c>
      <c r="D46" s="423"/>
      <c r="E46" s="423"/>
      <c r="F46" s="423"/>
      <c r="G46" s="424"/>
      <c r="H46" s="418">
        <f>SUM(H44:H45)</f>
        <v>79187</v>
      </c>
    </row>
    <row r="47" spans="1:8" customFormat="1" ht="12.75" customHeight="1" x14ac:dyDescent="0.25">
      <c r="A47" s="324" t="s">
        <v>1170</v>
      </c>
      <c r="B47" s="385"/>
      <c r="C47" s="336" t="s">
        <v>1207</v>
      </c>
      <c r="D47" s="419"/>
      <c r="E47" s="419"/>
      <c r="F47" s="419"/>
      <c r="G47" s="420"/>
      <c r="H47" s="421">
        <v>0</v>
      </c>
    </row>
    <row r="48" spans="1:8" customFormat="1" ht="12.75" customHeight="1" x14ac:dyDescent="0.25">
      <c r="A48" s="324" t="s">
        <v>1208</v>
      </c>
      <c r="B48" s="385"/>
      <c r="C48" s="336" t="s">
        <v>1209</v>
      </c>
      <c r="D48" s="413"/>
      <c r="E48" s="413"/>
      <c r="F48" s="413"/>
      <c r="G48" s="414"/>
      <c r="H48" s="421">
        <v>14108</v>
      </c>
    </row>
    <row r="49" spans="1:8" customFormat="1" ht="12.75" customHeight="1" x14ac:dyDescent="0.25">
      <c r="A49" s="324" t="s">
        <v>1210</v>
      </c>
      <c r="B49" s="385"/>
      <c r="C49" s="336" t="s">
        <v>1211</v>
      </c>
      <c r="D49" s="419"/>
      <c r="E49" s="419"/>
      <c r="F49" s="419"/>
      <c r="G49" s="420"/>
      <c r="H49" s="421">
        <v>67704</v>
      </c>
    </row>
    <row r="50" spans="1:8" customFormat="1" ht="12.75" customHeight="1" x14ac:dyDescent="0.25">
      <c r="A50" s="324" t="s">
        <v>1212</v>
      </c>
      <c r="B50" s="385"/>
      <c r="C50" s="336" t="s">
        <v>1213</v>
      </c>
      <c r="D50" s="419"/>
      <c r="E50" s="419"/>
      <c r="F50" s="419"/>
      <c r="G50" s="420"/>
      <c r="H50" s="421">
        <v>1509</v>
      </c>
    </row>
    <row r="51" spans="1:8" customFormat="1" ht="12.75" customHeight="1" x14ac:dyDescent="0.25">
      <c r="A51" s="324" t="s">
        <v>1214</v>
      </c>
      <c r="B51" s="385"/>
      <c r="C51" s="336" t="s">
        <v>1215</v>
      </c>
      <c r="D51" s="419"/>
      <c r="E51" s="419"/>
      <c r="F51" s="419"/>
      <c r="G51" s="420"/>
      <c r="H51" s="421">
        <v>1717</v>
      </c>
    </row>
    <row r="52" spans="1:8" customFormat="1" ht="12.75" customHeight="1" x14ac:dyDescent="0.25">
      <c r="A52" s="324" t="s">
        <v>1216</v>
      </c>
      <c r="B52" s="385"/>
      <c r="C52" s="336" t="s">
        <v>1217</v>
      </c>
      <c r="D52" s="419"/>
      <c r="E52" s="419"/>
      <c r="F52" s="419"/>
      <c r="G52" s="420"/>
      <c r="H52" s="421">
        <v>32617</v>
      </c>
    </row>
    <row r="53" spans="1:8" customFormat="1" ht="12.75" customHeight="1" x14ac:dyDescent="0.25">
      <c r="A53" s="324" t="s">
        <v>1218</v>
      </c>
      <c r="B53" s="393" t="s">
        <v>1219</v>
      </c>
      <c r="C53" s="377"/>
      <c r="D53" s="377"/>
      <c r="E53" s="377"/>
      <c r="F53" s="377"/>
      <c r="G53" s="378"/>
      <c r="H53" s="418">
        <f>H42+SUM(H46:H52)</f>
        <v>234018</v>
      </c>
    </row>
    <row r="54" spans="1:8" customFormat="1" ht="12.75" customHeight="1" x14ac:dyDescent="0.25">
      <c r="A54" s="324"/>
      <c r="B54" s="389"/>
      <c r="C54" s="390"/>
      <c r="D54" s="390"/>
      <c r="E54" s="390"/>
      <c r="F54" s="390"/>
      <c r="G54" s="391"/>
      <c r="H54" s="412"/>
    </row>
    <row r="55" spans="1:8" customFormat="1" ht="12.75" customHeight="1" x14ac:dyDescent="0.25">
      <c r="A55" s="324">
        <v>5</v>
      </c>
      <c r="B55" s="294" t="s">
        <v>798</v>
      </c>
      <c r="C55" s="295"/>
      <c r="D55" s="295"/>
      <c r="E55" s="295"/>
      <c r="F55" s="295"/>
      <c r="G55" s="305"/>
      <c r="H55" s="421">
        <v>17413</v>
      </c>
    </row>
    <row r="56" spans="1:8" customFormat="1" ht="12.75" customHeight="1" x14ac:dyDescent="0.25">
      <c r="A56" s="324"/>
      <c r="B56" s="389"/>
      <c r="C56" s="390"/>
      <c r="D56" s="390"/>
      <c r="E56" s="390"/>
      <c r="F56" s="390"/>
      <c r="G56" s="391"/>
      <c r="H56" s="412"/>
    </row>
    <row r="57" spans="1:8" customFormat="1" ht="12.75" customHeight="1" x14ac:dyDescent="0.25">
      <c r="A57" s="324">
        <v>6</v>
      </c>
      <c r="B57" s="169" t="s">
        <v>1220</v>
      </c>
      <c r="C57" s="227"/>
      <c r="D57" s="227"/>
      <c r="E57" s="227"/>
      <c r="F57" s="227"/>
      <c r="G57" s="228"/>
      <c r="H57" s="418">
        <f>H6+H8+H35+H53+H55</f>
        <v>1079754</v>
      </c>
    </row>
    <row r="58" spans="1:8" customFormat="1" ht="12.75" customHeight="1" x14ac:dyDescent="0.25">
      <c r="A58" s="324"/>
      <c r="B58" s="389"/>
      <c r="C58" s="390"/>
      <c r="D58" s="390"/>
      <c r="E58" s="390"/>
      <c r="F58" s="390"/>
      <c r="G58" s="391"/>
      <c r="H58" s="412"/>
    </row>
    <row r="59" spans="1:8" customFormat="1" ht="12.75" customHeight="1" x14ac:dyDescent="0.25">
      <c r="A59" s="324">
        <v>7</v>
      </c>
      <c r="B59" s="326" t="s">
        <v>800</v>
      </c>
      <c r="C59" s="326"/>
      <c r="D59" s="326"/>
      <c r="E59" s="326"/>
      <c r="F59" s="326"/>
      <c r="G59" s="326"/>
      <c r="H59" s="426"/>
    </row>
    <row r="60" spans="1:8" x14ac:dyDescent="0.2">
      <c r="A60" s="324" t="s">
        <v>894</v>
      </c>
      <c r="B60" s="181"/>
      <c r="C60" s="336" t="s">
        <v>1221</v>
      </c>
      <c r="D60" s="335"/>
      <c r="E60" s="335"/>
      <c r="F60" s="335"/>
      <c r="G60" s="303"/>
      <c r="H60" s="421">
        <v>8035</v>
      </c>
    </row>
    <row r="61" spans="1:8" x14ac:dyDescent="0.2">
      <c r="A61" s="324" t="s">
        <v>895</v>
      </c>
      <c r="B61" s="181"/>
      <c r="C61" s="336" t="s">
        <v>1222</v>
      </c>
      <c r="D61" s="335"/>
      <c r="E61" s="335"/>
      <c r="F61" s="335"/>
      <c r="G61" s="303"/>
      <c r="H61" s="421">
        <v>11494</v>
      </c>
    </row>
    <row r="62" spans="1:8" x14ac:dyDescent="0.2">
      <c r="A62" s="324" t="s">
        <v>896</v>
      </c>
      <c r="B62" s="181"/>
      <c r="C62" s="336" t="s">
        <v>1223</v>
      </c>
      <c r="D62" s="335"/>
      <c r="E62" s="335"/>
      <c r="F62" s="335"/>
      <c r="G62" s="303"/>
      <c r="H62" s="421">
        <v>2221</v>
      </c>
    </row>
    <row r="63" spans="1:8" x14ac:dyDescent="0.2">
      <c r="A63" s="324" t="s">
        <v>897</v>
      </c>
      <c r="B63" s="169" t="s">
        <v>1224</v>
      </c>
      <c r="C63" s="394"/>
      <c r="D63" s="394"/>
      <c r="E63" s="394"/>
      <c r="F63" s="394"/>
      <c r="G63" s="228"/>
      <c r="H63" s="418">
        <f>SUM(H60:H62)</f>
        <v>21750</v>
      </c>
    </row>
    <row r="64" spans="1:8" customFormat="1" ht="12.75" customHeight="1" x14ac:dyDescent="0.25">
      <c r="A64" s="324"/>
      <c r="B64" s="389"/>
      <c r="C64" s="390"/>
      <c r="D64" s="390"/>
      <c r="E64" s="390"/>
      <c r="F64" s="390"/>
      <c r="G64" s="391"/>
      <c r="H64" s="412"/>
    </row>
    <row r="65" spans="1:10" x14ac:dyDescent="0.2">
      <c r="A65" s="324">
        <v>8</v>
      </c>
      <c r="B65" s="300" t="s">
        <v>802</v>
      </c>
      <c r="C65" s="427"/>
      <c r="D65" s="427"/>
      <c r="E65" s="427"/>
      <c r="F65" s="427"/>
      <c r="G65" s="427"/>
      <c r="H65" s="418">
        <f>H57+H63</f>
        <v>1101504</v>
      </c>
      <c r="J65" s="129"/>
    </row>
    <row r="66" spans="1:10" customFormat="1" ht="12.75" customHeight="1" x14ac:dyDescent="0.25"/>
    <row r="67" spans="1:10" customFormat="1" ht="12.75" customHeight="1" x14ac:dyDescent="0.25"/>
    <row r="68" spans="1:10" customFormat="1" ht="12.75" customHeight="1" x14ac:dyDescent="0.25"/>
  </sheetData>
  <sheetProtection algorithmName="SHA-512" hashValue="wFuf5KPkx8wJSPW5fVlo9eJwRWvP7hI0ZCYLFO9VV1QF5pt7bXX4Jd88O6WFled1/JHV6rOyVbwL/9Q/LJb2DQ==" saltValue="OcS+xarpl/yp0KUDDVf07Q==" spinCount="100000" sheet="1" objects="1" scenarios="1"/>
  <dataValidations count="5">
    <dataValidation type="whole" operator="greaterThan" allowBlank="1" showInputMessage="1" showErrorMessage="1" errorTitle="Whole numbers only allowed" error="All monies should be independently rounded to the nearest £1,000." sqref="H60:H62">
      <formula1>-999999999</formula1>
    </dataValidation>
    <dataValidation type="whole" operator="greaterThan" allowBlank="1" showInputMessage="1" showErrorMessage="1" errorTitle="Whole numbers only allowed" error="All monies should be independently rounded to the nearest £1,000." sqref="H44:H45">
      <formula1>-999999999</formula1>
    </dataValidation>
    <dataValidation type="whole" operator="greaterThan" allowBlank="1" showInputMessage="1" showErrorMessage="1" errorTitle="Whole numbers only allowed" error="All monies should be independently rounded to the nearest £1,000." sqref="H47:H52">
      <formula1>-999999999</formula1>
    </dataValidation>
    <dataValidation type="whole" operator="greaterThan" allowBlank="1" showInputMessage="1" showErrorMessage="1" errorTitle="Whole numbers only allowed" error="All monies should be independently rounded to the nearest £1,000." sqref="H55">
      <formula1>-999999999</formula1>
    </dataValidation>
    <dataValidation type="whole" operator="greaterThan" allowBlank="1" showInputMessage="1" showErrorMessage="1" errorTitle="Whole numbers only allowed" error="All monies should be independently rounded to the nearest £1,000." sqref="H39:H41">
      <formula1>-999999999</formula1>
    </dataValidation>
  </dataValidations>
  <printOptions headings="1" gridLines="1"/>
  <pageMargins left="0.11811023622047245" right="0.11811023622047245" top="0.35433070866141736" bottom="0.35433070866141736"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zoomScaleNormal="100" workbookViewId="0"/>
  </sheetViews>
  <sheetFormatPr defaultColWidth="9.85546875" defaultRowHeight="15" x14ac:dyDescent="0.25"/>
  <cols>
    <col min="1" max="1" width="13.5703125" style="3" bestFit="1" customWidth="1"/>
    <col min="2" max="2" width="1.7109375" style="3" customWidth="1"/>
    <col min="3" max="3" width="78.7109375" style="3" customWidth="1"/>
    <col min="4" max="4" width="7" style="3" hidden="1" customWidth="1"/>
    <col min="5" max="5" width="7.28515625" style="3" hidden="1" customWidth="1"/>
    <col min="6" max="6" width="6.7109375" style="3" hidden="1" customWidth="1"/>
    <col min="7" max="7" width="7.85546875" style="3" hidden="1" customWidth="1"/>
  </cols>
  <sheetData>
    <row r="1" spans="1:10" ht="15.75" customHeight="1" x14ac:dyDescent="0.25">
      <c r="A1" s="404" t="s">
        <v>1225</v>
      </c>
      <c r="B1" s="405" t="s">
        <v>1226</v>
      </c>
      <c r="C1" s="405"/>
      <c r="D1" s="405"/>
      <c r="E1" s="405"/>
      <c r="F1" s="405"/>
      <c r="G1" s="405"/>
      <c r="H1" s="428"/>
      <c r="J1" s="313"/>
    </row>
    <row r="2" spans="1:10" ht="13.7" customHeight="1" x14ac:dyDescent="0.25">
      <c r="A2" s="429"/>
      <c r="B2" s="430"/>
      <c r="C2" s="430"/>
      <c r="D2" s="430"/>
      <c r="E2" s="430"/>
      <c r="F2" s="430"/>
      <c r="G2" s="430"/>
      <c r="H2" s="430"/>
      <c r="J2" s="431"/>
    </row>
    <row r="3" spans="1:10" ht="11.65" customHeight="1" x14ac:dyDescent="0.25">
      <c r="A3" s="430"/>
      <c r="B3" s="430"/>
      <c r="C3" s="430"/>
      <c r="D3" s="430"/>
      <c r="E3" s="430"/>
      <c r="F3" s="430"/>
      <c r="G3" s="430"/>
      <c r="H3" s="430"/>
    </row>
    <row r="4" spans="1:10" s="313" customFormat="1" ht="15.4" customHeight="1" x14ac:dyDescent="0.25">
      <c r="A4" s="432"/>
      <c r="B4" s="433"/>
      <c r="C4" s="433"/>
      <c r="D4" s="433"/>
      <c r="E4" s="433"/>
      <c r="F4" s="433"/>
      <c r="G4" s="433"/>
      <c r="H4" s="215" t="s">
        <v>784</v>
      </c>
    </row>
    <row r="5" spans="1:10" s="313" customFormat="1" ht="12.4" customHeight="1" x14ac:dyDescent="0.2">
      <c r="A5" s="434"/>
      <c r="B5" s="435" t="s">
        <v>1227</v>
      </c>
      <c r="C5" s="326"/>
      <c r="D5" s="326"/>
      <c r="E5" s="326"/>
      <c r="F5" s="326"/>
      <c r="G5" s="327"/>
      <c r="H5" s="436"/>
    </row>
    <row r="6" spans="1:10" s="313" customFormat="1" ht="12.4" customHeight="1" x14ac:dyDescent="0.2">
      <c r="A6" s="324" t="s">
        <v>789</v>
      </c>
      <c r="B6" s="390" t="s">
        <v>1228</v>
      </c>
      <c r="C6" s="390"/>
      <c r="D6" s="390"/>
      <c r="E6" s="419"/>
      <c r="F6" s="419"/>
      <c r="G6" s="420"/>
      <c r="H6" s="421">
        <v>0</v>
      </c>
    </row>
    <row r="7" spans="1:10" s="313" customFormat="1" ht="12.4" customHeight="1" x14ac:dyDescent="0.2">
      <c r="A7" s="324" t="s">
        <v>791</v>
      </c>
      <c r="B7" s="390" t="s">
        <v>1229</v>
      </c>
      <c r="C7" s="390"/>
      <c r="D7" s="390"/>
      <c r="E7" s="419"/>
      <c r="F7" s="419"/>
      <c r="G7" s="362"/>
      <c r="H7" s="421">
        <v>0</v>
      </c>
    </row>
    <row r="8" spans="1:10" s="313" customFormat="1" ht="12.4" customHeight="1" x14ac:dyDescent="0.2">
      <c r="A8" s="324" t="s">
        <v>793</v>
      </c>
      <c r="B8" s="390" t="s">
        <v>1230</v>
      </c>
      <c r="C8" s="390"/>
      <c r="D8" s="390"/>
      <c r="E8" s="419"/>
      <c r="F8" s="419"/>
      <c r="G8" s="362"/>
      <c r="H8" s="421">
        <v>0</v>
      </c>
    </row>
    <row r="9" spans="1:10" s="313" customFormat="1" ht="12.4" customHeight="1" x14ac:dyDescent="0.2">
      <c r="A9" s="324" t="s">
        <v>795</v>
      </c>
      <c r="B9" s="390" t="s">
        <v>1231</v>
      </c>
      <c r="C9" s="390"/>
      <c r="D9" s="390"/>
      <c r="E9" s="419"/>
      <c r="F9" s="419"/>
      <c r="G9" s="362"/>
      <c r="H9" s="421">
        <v>0</v>
      </c>
    </row>
    <row r="10" spans="1:10" s="313" customFormat="1" ht="12.4" customHeight="1" x14ac:dyDescent="0.2">
      <c r="A10" s="324" t="s">
        <v>797</v>
      </c>
      <c r="B10" s="390" t="s">
        <v>1232</v>
      </c>
      <c r="C10" s="390"/>
      <c r="D10" s="390"/>
      <c r="E10" s="419"/>
      <c r="F10" s="419"/>
      <c r="G10" s="362"/>
      <c r="H10" s="421">
        <v>0</v>
      </c>
    </row>
    <row r="11" spans="1:10" s="313" customFormat="1" ht="12.4" customHeight="1" x14ac:dyDescent="0.2">
      <c r="A11" s="324" t="s">
        <v>799</v>
      </c>
      <c r="B11" s="390" t="s">
        <v>1233</v>
      </c>
      <c r="C11" s="390"/>
      <c r="D11" s="390"/>
      <c r="E11" s="419"/>
      <c r="F11" s="419"/>
      <c r="G11" s="337"/>
      <c r="H11" s="421">
        <v>0</v>
      </c>
    </row>
    <row r="12" spans="1:10" s="313" customFormat="1" ht="12.4" customHeight="1" x14ac:dyDescent="0.2">
      <c r="A12" s="324" t="s">
        <v>801</v>
      </c>
      <c r="B12" s="390" t="s">
        <v>1234</v>
      </c>
      <c r="C12" s="390"/>
      <c r="D12" s="390"/>
      <c r="E12" s="419"/>
      <c r="F12" s="419"/>
      <c r="G12" s="337"/>
      <c r="H12" s="421">
        <v>0</v>
      </c>
    </row>
    <row r="13" spans="1:10" s="313" customFormat="1" ht="12.4" customHeight="1" x14ac:dyDescent="0.2">
      <c r="A13" s="324" t="s">
        <v>861</v>
      </c>
      <c r="B13" s="390" t="s">
        <v>1235</v>
      </c>
      <c r="C13" s="390"/>
      <c r="D13" s="390"/>
      <c r="E13" s="419"/>
      <c r="F13" s="419"/>
      <c r="G13" s="337"/>
      <c r="H13" s="421">
        <v>0</v>
      </c>
    </row>
    <row r="14" spans="1:10" s="313" customFormat="1" ht="12.4" customHeight="1" x14ac:dyDescent="0.2">
      <c r="A14" s="324" t="s">
        <v>863</v>
      </c>
      <c r="B14" s="390" t="s">
        <v>1236</v>
      </c>
      <c r="C14" s="390"/>
      <c r="D14" s="419"/>
      <c r="E14" s="419"/>
      <c r="F14" s="419"/>
      <c r="G14" s="253"/>
      <c r="H14" s="421">
        <v>0</v>
      </c>
    </row>
    <row r="15" spans="1:10" s="313" customFormat="1" ht="12.4" customHeight="1" x14ac:dyDescent="0.2">
      <c r="A15" s="324" t="s">
        <v>865</v>
      </c>
      <c r="B15" s="393" t="s">
        <v>1237</v>
      </c>
      <c r="C15" s="377"/>
      <c r="D15" s="377"/>
      <c r="E15" s="377"/>
      <c r="F15" s="377"/>
      <c r="G15" s="378"/>
      <c r="H15" s="418">
        <f>SUM(H6:H14)</f>
        <v>0</v>
      </c>
    </row>
    <row r="16" spans="1:10" x14ac:dyDescent="0.25">
      <c r="A16" s="324">
        <v>2</v>
      </c>
      <c r="B16" s="437" t="s">
        <v>1238</v>
      </c>
      <c r="C16" s="438"/>
      <c r="D16" s="439"/>
      <c r="E16" s="439"/>
      <c r="F16" s="439"/>
      <c r="G16" s="439"/>
      <c r="H16" s="421">
        <v>0</v>
      </c>
    </row>
  </sheetData>
  <sheetProtection algorithmName="SHA-512" hashValue="36NNN8lHqqekyaucrn2jaDgs/+NjS9wS6DTpJmXH5EEYSl5QBy6UQg17xyzpKgd43IcKsu7t6Nxswwcvam4bxQ==" saltValue="hHLBpzio2mjOlQ7ziiP+ng==" spinCount="100000" sheet="1" objects="1" scenarios="1"/>
  <dataValidations count="2">
    <dataValidation type="whole" operator="greaterThan" allowBlank="1" showInputMessage="1" showErrorMessage="1" errorTitle="Whole numbers only allowed" error="All monies should be independently rounded to the nearest £1,000." sqref="H6:H14">
      <formula1>-999999999</formula1>
    </dataValidation>
    <dataValidation type="whole" operator="greaterThan" allowBlank="1" showInputMessage="1" showErrorMessage="1" errorTitle="Whole numbers only allowed" error="All monies should be independently rounded to the nearest £1,000." sqref="H16">
      <formula1>-999999999</formula1>
    </dataValidation>
  </dataValidations>
  <printOptions headings="1"/>
  <pageMargins left="0.70866141732283472" right="0.70866141732283472" top="0.74803149606299213" bottom="0.74803149606299213"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15"/>
  <sheetViews>
    <sheetView zoomScaleNormal="100" workbookViewId="0">
      <selection activeCell="H6" sqref="H6:H12"/>
    </sheetView>
  </sheetViews>
  <sheetFormatPr defaultColWidth="9.85546875" defaultRowHeight="15" x14ac:dyDescent="0.25"/>
  <cols>
    <col min="1" max="1" width="12.85546875" style="3" bestFit="1" customWidth="1"/>
    <col min="2" max="2" width="2.85546875" style="3" customWidth="1"/>
    <col min="3" max="3" width="43.42578125" style="3" customWidth="1"/>
    <col min="4" max="7" width="2.42578125" style="3" hidden="1" customWidth="1"/>
    <col min="8" max="8" width="15.7109375" style="3" customWidth="1"/>
    <col min="9" max="9" width="15" style="3" customWidth="1"/>
    <col min="10" max="10" width="15.140625" style="3" customWidth="1"/>
    <col min="11" max="11" width="16" style="3" customWidth="1"/>
    <col min="12" max="12" width="15.42578125" style="3" customWidth="1"/>
    <col min="13" max="13" width="15.7109375" style="3" customWidth="1"/>
  </cols>
  <sheetData>
    <row r="1" spans="1:13" ht="15.4" customHeight="1" x14ac:dyDescent="0.25">
      <c r="A1" s="404" t="s">
        <v>1239</v>
      </c>
      <c r="B1" s="405" t="s">
        <v>1240</v>
      </c>
      <c r="C1" s="405"/>
      <c r="D1" s="405"/>
      <c r="E1" s="405"/>
      <c r="F1" s="405"/>
      <c r="G1" s="405"/>
      <c r="H1" s="428"/>
      <c r="I1" s="440"/>
      <c r="J1" s="313"/>
      <c r="K1" s="313"/>
      <c r="L1"/>
      <c r="M1"/>
    </row>
    <row r="2" spans="1:13" ht="12" customHeight="1" x14ac:dyDescent="0.25">
      <c r="A2" s="429"/>
      <c r="B2" s="430"/>
      <c r="C2" s="430"/>
      <c r="D2" s="430"/>
      <c r="E2" s="430"/>
      <c r="F2" s="430"/>
      <c r="G2" s="430"/>
      <c r="H2" s="441"/>
      <c r="I2" s="440"/>
      <c r="J2" s="313"/>
      <c r="K2" s="313"/>
      <c r="L2"/>
      <c r="M2"/>
    </row>
    <row r="3" spans="1:13" ht="13.7" customHeight="1" x14ac:dyDescent="0.25">
      <c r="A3" s="429"/>
      <c r="B3" s="430"/>
      <c r="C3" s="430"/>
      <c r="D3" s="430"/>
      <c r="E3" s="430"/>
      <c r="F3" s="430"/>
      <c r="G3" s="430"/>
      <c r="H3" s="441"/>
      <c r="I3"/>
      <c r="J3"/>
      <c r="K3"/>
      <c r="L3"/>
      <c r="M3"/>
    </row>
    <row r="4" spans="1:13" ht="15.4" customHeight="1" x14ac:dyDescent="0.25">
      <c r="A4" s="432"/>
      <c r="B4" s="433"/>
      <c r="C4" s="433"/>
      <c r="D4" s="433"/>
      <c r="E4" s="433"/>
      <c r="F4" s="433"/>
      <c r="G4" s="433"/>
      <c r="H4" s="215" t="s">
        <v>784</v>
      </c>
      <c r="I4"/>
      <c r="J4"/>
      <c r="K4"/>
      <c r="L4"/>
      <c r="M4"/>
    </row>
    <row r="5" spans="1:13" ht="12.75" customHeight="1" x14ac:dyDescent="0.25">
      <c r="A5" s="442">
        <v>1</v>
      </c>
      <c r="B5" s="435" t="s">
        <v>1241</v>
      </c>
      <c r="C5" s="443"/>
      <c r="D5" s="443"/>
      <c r="E5" s="443"/>
      <c r="F5" s="443"/>
      <c r="G5" s="443"/>
      <c r="H5" s="444"/>
      <c r="I5" s="313"/>
      <c r="J5" s="313"/>
      <c r="K5"/>
      <c r="L5"/>
      <c r="M5"/>
    </row>
    <row r="6" spans="1:13" ht="12.75" customHeight="1" x14ac:dyDescent="0.25">
      <c r="A6" s="324" t="s">
        <v>789</v>
      </c>
      <c r="B6" s="336" t="s">
        <v>1242</v>
      </c>
      <c r="C6" s="336"/>
      <c r="D6" s="335"/>
      <c r="E6" s="335"/>
      <c r="F6" s="335"/>
      <c r="G6" s="253"/>
      <c r="H6" s="421">
        <v>64433</v>
      </c>
      <c r="I6" s="313"/>
      <c r="J6" s="313"/>
      <c r="K6"/>
      <c r="L6"/>
      <c r="M6"/>
    </row>
    <row r="7" spans="1:13" ht="12.75" customHeight="1" x14ac:dyDescent="0.25">
      <c r="A7" s="324" t="s">
        <v>791</v>
      </c>
      <c r="B7" s="336" t="s">
        <v>1243</v>
      </c>
      <c r="C7" s="336"/>
      <c r="D7" s="335"/>
      <c r="E7" s="335"/>
      <c r="F7" s="335"/>
      <c r="G7" s="253"/>
      <c r="H7" s="421">
        <v>90215</v>
      </c>
      <c r="I7" s="313"/>
      <c r="J7" s="313"/>
      <c r="K7"/>
      <c r="L7"/>
      <c r="M7"/>
    </row>
    <row r="8" spans="1:13" ht="12.75" customHeight="1" x14ac:dyDescent="0.25">
      <c r="A8" s="324" t="s">
        <v>793</v>
      </c>
      <c r="B8" s="336" t="s">
        <v>1244</v>
      </c>
      <c r="C8" s="336"/>
      <c r="D8" s="335"/>
      <c r="E8" s="335"/>
      <c r="F8" s="335"/>
      <c r="G8" s="253"/>
      <c r="H8" s="421">
        <v>0</v>
      </c>
      <c r="I8" s="313"/>
      <c r="J8" s="313"/>
      <c r="K8"/>
      <c r="L8"/>
      <c r="M8"/>
    </row>
    <row r="9" spans="1:13" ht="12.75" customHeight="1" x14ac:dyDescent="0.25">
      <c r="A9" s="324" t="s">
        <v>795</v>
      </c>
      <c r="B9" s="336" t="s">
        <v>1245</v>
      </c>
      <c r="C9" s="336"/>
      <c r="D9" s="335"/>
      <c r="E9" s="335"/>
      <c r="F9" s="335"/>
      <c r="G9" s="253"/>
      <c r="H9" s="421">
        <v>17290</v>
      </c>
      <c r="I9" s="313"/>
      <c r="J9" s="313"/>
      <c r="K9"/>
      <c r="L9"/>
      <c r="M9"/>
    </row>
    <row r="10" spans="1:13" ht="12.75" customHeight="1" x14ac:dyDescent="0.25">
      <c r="A10" s="324" t="s">
        <v>797</v>
      </c>
      <c r="B10" s="336" t="s">
        <v>1246</v>
      </c>
      <c r="C10" s="336"/>
      <c r="D10" s="335"/>
      <c r="E10" s="335"/>
      <c r="F10" s="335"/>
      <c r="G10" s="253"/>
      <c r="H10" s="421">
        <v>16836</v>
      </c>
      <c r="I10" s="313"/>
      <c r="J10" s="313"/>
      <c r="K10"/>
      <c r="L10"/>
      <c r="M10"/>
    </row>
    <row r="11" spans="1:13" ht="12.75" customHeight="1" x14ac:dyDescent="0.25">
      <c r="A11" s="324" t="s">
        <v>799</v>
      </c>
      <c r="B11" s="336" t="s">
        <v>1213</v>
      </c>
      <c r="C11" s="336"/>
      <c r="D11" s="335"/>
      <c r="E11" s="335"/>
      <c r="F11" s="335"/>
      <c r="G11" s="253"/>
      <c r="H11" s="421">
        <v>7045</v>
      </c>
      <c r="I11" s="313"/>
      <c r="J11" s="313"/>
      <c r="K11"/>
      <c r="L11"/>
      <c r="M11"/>
    </row>
    <row r="12" spans="1:13" ht="12.75" customHeight="1" x14ac:dyDescent="0.25">
      <c r="A12" s="324" t="s">
        <v>801</v>
      </c>
      <c r="B12" s="336" t="s">
        <v>1247</v>
      </c>
      <c r="C12" s="336"/>
      <c r="D12" s="335"/>
      <c r="E12" s="335"/>
      <c r="F12" s="335"/>
      <c r="G12" s="253"/>
      <c r="H12" s="421">
        <v>0</v>
      </c>
      <c r="I12" s="313"/>
      <c r="J12" s="313"/>
      <c r="K12"/>
      <c r="L12"/>
      <c r="M12"/>
    </row>
    <row r="13" spans="1:13" ht="12.75" customHeight="1" x14ac:dyDescent="0.25">
      <c r="A13" s="324" t="s">
        <v>861</v>
      </c>
      <c r="B13" s="393" t="s">
        <v>1248</v>
      </c>
      <c r="C13" s="377"/>
      <c r="D13" s="377"/>
      <c r="E13" s="377"/>
      <c r="F13" s="377"/>
      <c r="G13" s="378"/>
      <c r="H13" s="418">
        <f>SUM(H6:H12)</f>
        <v>195819</v>
      </c>
      <c r="I13" s="313"/>
      <c r="J13" s="313"/>
      <c r="K13"/>
      <c r="L13"/>
      <c r="M13"/>
    </row>
    <row r="14" spans="1:13" ht="12.75" customHeight="1" x14ac:dyDescent="0.25">
      <c r="A14" s="398"/>
      <c r="B14"/>
      <c r="C14"/>
      <c r="D14"/>
      <c r="E14"/>
      <c r="F14"/>
      <c r="G14"/>
      <c r="H14"/>
      <c r="I14"/>
      <c r="J14"/>
      <c r="K14"/>
      <c r="L14"/>
      <c r="M14"/>
    </row>
    <row r="15" spans="1:13" ht="12.75" customHeight="1" x14ac:dyDescent="0.25">
      <c r="A15"/>
      <c r="B15" s="445"/>
      <c r="C15" s="445"/>
      <c r="D15" s="445"/>
      <c r="E15" s="445"/>
      <c r="F15" s="445"/>
      <c r="G15" s="445"/>
      <c r="H15"/>
      <c r="I15"/>
      <c r="J15"/>
      <c r="K15"/>
      <c r="L15"/>
      <c r="M15"/>
    </row>
  </sheetData>
  <sheetProtection algorithmName="SHA-512" hashValue="65BuMOTzUFW4UCBptqDORyyOzp05zOCf06HGHfc0K1tPblQroROMW2poYbpfKMVwdwF/Puic5iW0uWNw3EzVqQ==" saltValue="OKtIr5m4TPEgen3gDRHlSA==" spinCount="100000" sheet="1" objects="1" scenarios="1"/>
  <dataValidations count="1">
    <dataValidation type="whole" operator="greaterThan" allowBlank="1" showInputMessage="1" showErrorMessage="1" errorTitle="Whole numbers only allowed" error="All monies should be independently rounded to the nearest £1,000." sqref="H6:H12">
      <formula1>-99999999</formula1>
    </dataValidation>
  </dataValidations>
  <printOptions headings="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11"/>
  <sheetViews>
    <sheetView zoomScaleNormal="100" workbookViewId="0"/>
  </sheetViews>
  <sheetFormatPr defaultColWidth="9.85546875" defaultRowHeight="15" x14ac:dyDescent="0.25"/>
  <cols>
    <col min="1" max="1" width="13.7109375" style="3" bestFit="1" customWidth="1"/>
    <col min="2" max="2" width="2.85546875" style="3" customWidth="1"/>
    <col min="3" max="3" width="52.140625" style="3" customWidth="1"/>
    <col min="4" max="4" width="2.42578125" style="3" hidden="1" customWidth="1"/>
    <col min="5" max="7" width="2.5703125" style="3" hidden="1" customWidth="1"/>
  </cols>
  <sheetData>
    <row r="1" spans="1:10" ht="15.4" customHeight="1" x14ac:dyDescent="0.25">
      <c r="A1" s="404" t="s">
        <v>1249</v>
      </c>
      <c r="B1" s="405" t="s">
        <v>1250</v>
      </c>
      <c r="C1" s="405"/>
      <c r="D1" s="405"/>
      <c r="E1" s="405"/>
      <c r="F1" s="405"/>
      <c r="G1" s="405"/>
      <c r="H1" s="428"/>
      <c r="J1" s="313"/>
    </row>
    <row r="2" spans="1:10" ht="15.4" hidden="1" customHeight="1" x14ac:dyDescent="0.25">
      <c r="A2" s="429"/>
      <c r="B2" s="430"/>
      <c r="C2" s="430"/>
      <c r="D2" s="430"/>
      <c r="E2" s="430"/>
      <c r="F2" s="430"/>
      <c r="G2" s="430"/>
      <c r="H2" s="441"/>
      <c r="J2" s="313"/>
    </row>
    <row r="3" spans="1:10" ht="17.25" hidden="1" customHeight="1" x14ac:dyDescent="0.25">
      <c r="A3" s="429"/>
      <c r="B3" s="430"/>
      <c r="C3" s="430"/>
      <c r="D3" s="430"/>
      <c r="E3" s="430"/>
      <c r="F3" s="430"/>
      <c r="G3" s="430"/>
      <c r="H3" s="441"/>
      <c r="J3" s="446"/>
    </row>
    <row r="4" spans="1:10" ht="15.4" customHeight="1" x14ac:dyDescent="0.25">
      <c r="A4" s="432"/>
      <c r="B4" s="433"/>
      <c r="C4" s="433"/>
      <c r="D4" s="433"/>
      <c r="E4" s="433"/>
      <c r="F4" s="433"/>
      <c r="G4" s="447"/>
      <c r="H4" s="215" t="s">
        <v>784</v>
      </c>
    </row>
    <row r="5" spans="1:10" s="313" customFormat="1" ht="12.4" customHeight="1" x14ac:dyDescent="0.2">
      <c r="A5" s="442"/>
      <c r="B5" s="435" t="s">
        <v>1251</v>
      </c>
      <c r="C5" s="443"/>
      <c r="D5" s="443"/>
      <c r="E5" s="443"/>
      <c r="F5" s="443"/>
      <c r="G5" s="448"/>
      <c r="H5" s="449"/>
    </row>
    <row r="6" spans="1:10" s="313" customFormat="1" ht="12.4" customHeight="1" x14ac:dyDescent="0.2">
      <c r="A6" s="324" t="s">
        <v>789</v>
      </c>
      <c r="B6" s="336" t="s">
        <v>1252</v>
      </c>
      <c r="C6" s="336"/>
      <c r="D6" s="336"/>
      <c r="E6" s="335"/>
      <c r="F6" s="335"/>
      <c r="G6" s="362"/>
      <c r="H6" s="421">
        <v>0</v>
      </c>
    </row>
    <row r="7" spans="1:10" s="313" customFormat="1" ht="12.4" customHeight="1" x14ac:dyDescent="0.2">
      <c r="A7" s="324" t="s">
        <v>791</v>
      </c>
      <c r="B7" s="336" t="s">
        <v>1253</v>
      </c>
      <c r="C7" s="336"/>
      <c r="D7" s="336"/>
      <c r="E7" s="335"/>
      <c r="F7" s="335"/>
      <c r="G7" s="362"/>
      <c r="H7" s="421">
        <v>0</v>
      </c>
    </row>
    <row r="8" spans="1:10" s="313" customFormat="1" ht="12.4" customHeight="1" x14ac:dyDescent="0.2">
      <c r="A8" s="324" t="s">
        <v>793</v>
      </c>
      <c r="B8" s="336" t="s">
        <v>1254</v>
      </c>
      <c r="C8" s="336"/>
      <c r="D8" s="336"/>
      <c r="E8" s="335"/>
      <c r="F8" s="335"/>
      <c r="G8" s="362"/>
      <c r="H8" s="421">
        <v>0</v>
      </c>
    </row>
    <row r="9" spans="1:10" s="313" customFormat="1" ht="12.4" customHeight="1" x14ac:dyDescent="0.2">
      <c r="A9" s="324" t="s">
        <v>795</v>
      </c>
      <c r="B9" s="336" t="s">
        <v>1213</v>
      </c>
      <c r="C9" s="336"/>
      <c r="D9" s="336"/>
      <c r="E9" s="335"/>
      <c r="F9" s="335"/>
      <c r="G9" s="362"/>
      <c r="H9" s="421">
        <v>0</v>
      </c>
    </row>
    <row r="10" spans="1:10" s="313" customFormat="1" ht="12.4" customHeight="1" x14ac:dyDescent="0.2">
      <c r="A10" s="324" t="s">
        <v>797</v>
      </c>
      <c r="B10" s="393" t="s">
        <v>1248</v>
      </c>
      <c r="C10" s="377"/>
      <c r="D10" s="377"/>
      <c r="E10" s="377"/>
      <c r="F10" s="377"/>
      <c r="G10" s="378"/>
      <c r="H10" s="418">
        <f>SUM(H6:H9)</f>
        <v>0</v>
      </c>
    </row>
    <row r="11" spans="1:10" x14ac:dyDescent="0.25">
      <c r="A11" s="398"/>
    </row>
  </sheetData>
  <sheetProtection algorithmName="SHA-512" hashValue="2AaeavbbOto6/GB6aYuAfcGZNnE4GSbOFnYTfsnsuzZCUCFio3b2R3xYfR3SdsM76mVYp1kbs5NGKggxt2QQow==" saltValue="FF7DjkOBsuzyBAI4ak/5rg==" spinCount="100000" sheet="1" objects="1" scenarios="1"/>
  <dataValidations count="64">
    <dataValidation type="whole" operator="greaterThan" allowBlank="1" showInputMessage="1" showErrorMessage="1" errorTitle="Whole numbers only allowed" error="All monies should be independently rounded to the nearest £1,000." sqref="H6:H9">
      <formula1>-99999999</formula1>
    </dataValidation>
    <dataValidation type="whole" operator="greaterThan" allowBlank="1" showInputMessage="1" showErrorMessage="1" errorTitle="Whole numbers only allowed" error="All monies should be independently rounded to the nearest £1,000." sqref="GC6:GC9">
      <formula1>-99999999</formula1>
    </dataValidation>
    <dataValidation type="whole" operator="greaterThan" allowBlank="1" showInputMessage="1" showErrorMessage="1" errorTitle="Whole numbers only allowed" error="All monies should be independently rounded to the nearest £1,000." sqref="PY6:PY9">
      <formula1>-99999999</formula1>
    </dataValidation>
    <dataValidation type="whole" operator="greaterThan" allowBlank="1" showInputMessage="1" showErrorMessage="1" errorTitle="Whole numbers only allowed" error="All monies should be independently rounded to the nearest £1,000." sqref="ZU6:ZU9">
      <formula1>-99999999</formula1>
    </dataValidation>
    <dataValidation type="whole" operator="greaterThan" allowBlank="1" showInputMessage="1" showErrorMessage="1" errorTitle="Whole numbers only allowed" error="All monies should be independently rounded to the nearest £1,000." sqref="AJQ6:AJQ9">
      <formula1>-99999999</formula1>
    </dataValidation>
    <dataValidation type="whole" operator="greaterThan" allowBlank="1" showInputMessage="1" showErrorMessage="1" errorTitle="Whole numbers only allowed" error="All monies should be independently rounded to the nearest £1,000." sqref="ATM6:ATM9">
      <formula1>-99999999</formula1>
    </dataValidation>
    <dataValidation type="whole" operator="greaterThan" allowBlank="1" showInputMessage="1" showErrorMessage="1" errorTitle="Whole numbers only allowed" error="All monies should be independently rounded to the nearest £1,000." sqref="BDI6:BDI9">
      <formula1>-99999999</formula1>
    </dataValidation>
    <dataValidation type="whole" operator="greaterThan" allowBlank="1" showInputMessage="1" showErrorMessage="1" errorTitle="Whole numbers only allowed" error="All monies should be independently rounded to the nearest £1,000." sqref="BNE6:BNE9">
      <formula1>-99999999</formula1>
    </dataValidation>
    <dataValidation type="whole" operator="greaterThan" allowBlank="1" showInputMessage="1" showErrorMessage="1" errorTitle="Whole numbers only allowed" error="All monies should be independently rounded to the nearest £1,000." sqref="BXA6:BXA9">
      <formula1>-99999999</formula1>
    </dataValidation>
    <dataValidation type="whole" operator="greaterThan" allowBlank="1" showInputMessage="1" showErrorMessage="1" errorTitle="Whole numbers only allowed" error="All monies should be independently rounded to the nearest £1,000." sqref="CGW6:CGW9">
      <formula1>-99999999</formula1>
    </dataValidation>
    <dataValidation type="whole" operator="greaterThan" allowBlank="1" showInputMessage="1" showErrorMessage="1" errorTitle="Whole numbers only allowed" error="All monies should be independently rounded to the nearest £1,000." sqref="CQS6:CQS9">
      <formula1>-99999999</formula1>
    </dataValidation>
    <dataValidation type="whole" operator="greaterThan" allowBlank="1" showInputMessage="1" showErrorMessage="1" errorTitle="Whole numbers only allowed" error="All monies should be independently rounded to the nearest £1,000." sqref="DAO6:DAO9">
      <formula1>-99999999</formula1>
    </dataValidation>
    <dataValidation type="whole" operator="greaterThan" allowBlank="1" showInputMessage="1" showErrorMessage="1" errorTitle="Whole numbers only allowed" error="All monies should be independently rounded to the nearest £1,000." sqref="DKK6:DKK9">
      <formula1>-99999999</formula1>
    </dataValidation>
    <dataValidation type="whole" operator="greaterThan" allowBlank="1" showInputMessage="1" showErrorMessage="1" errorTitle="Whole numbers only allowed" error="All monies should be independently rounded to the nearest £1,000." sqref="DUG6:DUG9">
      <formula1>-99999999</formula1>
    </dataValidation>
    <dataValidation type="whole" operator="greaterThan" allowBlank="1" showInputMessage="1" showErrorMessage="1" errorTitle="Whole numbers only allowed" error="All monies should be independently rounded to the nearest £1,000." sqref="EEC6:EEC9">
      <formula1>-99999999</formula1>
    </dataValidation>
    <dataValidation type="whole" operator="greaterThan" allowBlank="1" showInputMessage="1" showErrorMessage="1" errorTitle="Whole numbers only allowed" error="All monies should be independently rounded to the nearest £1,000." sqref="ENY6:ENY9">
      <formula1>-99999999</formula1>
    </dataValidation>
    <dataValidation type="whole" operator="greaterThan" allowBlank="1" showInputMessage="1" showErrorMessage="1" errorTitle="Whole numbers only allowed" error="All monies should be independently rounded to the nearest £1,000." sqref="EXU6:EXU9">
      <formula1>-99999999</formula1>
    </dataValidation>
    <dataValidation type="whole" operator="greaterThan" allowBlank="1" showInputMessage="1" showErrorMessage="1" errorTitle="Whole numbers only allowed" error="All monies should be independently rounded to the nearest £1,000." sqref="FHQ6:FHQ9">
      <formula1>-99999999</formula1>
    </dataValidation>
    <dataValidation type="whole" operator="greaterThan" allowBlank="1" showInputMessage="1" showErrorMessage="1" errorTitle="Whole numbers only allowed" error="All monies should be independently rounded to the nearest £1,000." sqref="FRM6:FRM9">
      <formula1>-99999999</formula1>
    </dataValidation>
    <dataValidation type="whole" operator="greaterThan" allowBlank="1" showInputMessage="1" showErrorMessage="1" errorTitle="Whole numbers only allowed" error="All monies should be independently rounded to the nearest £1,000." sqref="GBI6:GBI9">
      <formula1>-99999999</formula1>
    </dataValidation>
    <dataValidation type="whole" operator="greaterThan" allowBlank="1" showInputMessage="1" showErrorMessage="1" errorTitle="Whole numbers only allowed" error="All monies should be independently rounded to the nearest £1,000." sqref="GLE6:GLE9">
      <formula1>-99999999</formula1>
    </dataValidation>
    <dataValidation type="whole" operator="greaterThan" allowBlank="1" showInputMessage="1" showErrorMessage="1" errorTitle="Whole numbers only allowed" error="All monies should be independently rounded to the nearest £1,000." sqref="GVA6:GVA9">
      <formula1>-99999999</formula1>
    </dataValidation>
    <dataValidation type="whole" operator="greaterThan" allowBlank="1" showInputMessage="1" showErrorMessage="1" errorTitle="Whole numbers only allowed" error="All monies should be independently rounded to the nearest £1,000." sqref="HEW6:HEW9">
      <formula1>-99999999</formula1>
    </dataValidation>
    <dataValidation type="whole" operator="greaterThan" allowBlank="1" showInputMessage="1" showErrorMessage="1" errorTitle="Whole numbers only allowed" error="All monies should be independently rounded to the nearest £1,000." sqref="HOS6:HOS9">
      <formula1>-99999999</formula1>
    </dataValidation>
    <dataValidation type="whole" operator="greaterThan" allowBlank="1" showInputMessage="1" showErrorMessage="1" errorTitle="Whole numbers only allowed" error="All monies should be independently rounded to the nearest £1,000." sqref="HYO6:HYO9">
      <formula1>-99999999</formula1>
    </dataValidation>
    <dataValidation type="whole" operator="greaterThan" allowBlank="1" showInputMessage="1" showErrorMessage="1" errorTitle="Whole numbers only allowed" error="All monies should be independently rounded to the nearest £1,000." sqref="IIK6:IIK9">
      <formula1>-99999999</formula1>
    </dataValidation>
    <dataValidation type="whole" operator="greaterThan" allowBlank="1" showInputMessage="1" showErrorMessage="1" errorTitle="Whole numbers only allowed" error="All monies should be independently rounded to the nearest £1,000." sqref="ISG6:ISG9">
      <formula1>-99999999</formula1>
    </dataValidation>
    <dataValidation type="whole" operator="greaterThan" allowBlank="1" showInputMessage="1" showErrorMessage="1" errorTitle="Whole numbers only allowed" error="All monies should be independently rounded to the nearest £1,000." sqref="JCC6:JCC9">
      <formula1>-99999999</formula1>
    </dataValidation>
    <dataValidation type="whole" operator="greaterThan" allowBlank="1" showInputMessage="1" showErrorMessage="1" errorTitle="Whole numbers only allowed" error="All monies should be independently rounded to the nearest £1,000." sqref="JLY6:JLY9">
      <formula1>-99999999</formula1>
    </dataValidation>
    <dataValidation type="whole" operator="greaterThan" allowBlank="1" showInputMessage="1" showErrorMessage="1" errorTitle="Whole numbers only allowed" error="All monies should be independently rounded to the nearest £1,000." sqref="JVU6:JVU9">
      <formula1>-99999999</formula1>
    </dataValidation>
    <dataValidation type="whole" operator="greaterThan" allowBlank="1" showInputMessage="1" showErrorMessage="1" errorTitle="Whole numbers only allowed" error="All monies should be independently rounded to the nearest £1,000." sqref="KFQ6:KFQ9">
      <formula1>-99999999</formula1>
    </dataValidation>
    <dataValidation type="whole" operator="greaterThan" allowBlank="1" showInputMessage="1" showErrorMessage="1" errorTitle="Whole numbers only allowed" error="All monies should be independently rounded to the nearest £1,000." sqref="KPM6:KPM9">
      <formula1>-99999999</formula1>
    </dataValidation>
    <dataValidation type="whole" operator="greaterThan" allowBlank="1" showInputMessage="1" showErrorMessage="1" errorTitle="Whole numbers only allowed" error="All monies should be independently rounded to the nearest £1,000." sqref="KZI6:KZI9">
      <formula1>-99999999</formula1>
    </dataValidation>
    <dataValidation type="whole" operator="greaterThan" allowBlank="1" showInputMessage="1" showErrorMessage="1" errorTitle="Whole numbers only allowed" error="All monies should be independently rounded to the nearest £1,000." sqref="LJE6:LJE9">
      <formula1>-99999999</formula1>
    </dataValidation>
    <dataValidation type="whole" operator="greaterThan" allowBlank="1" showInputMessage="1" showErrorMessage="1" errorTitle="Whole numbers only allowed" error="All monies should be independently rounded to the nearest £1,000." sqref="LTA6:LTA9">
      <formula1>-99999999</formula1>
    </dataValidation>
    <dataValidation type="whole" operator="greaterThan" allowBlank="1" showInputMessage="1" showErrorMessage="1" errorTitle="Whole numbers only allowed" error="All monies should be independently rounded to the nearest £1,000." sqref="MCW6:MCW9">
      <formula1>-99999999</formula1>
    </dataValidation>
    <dataValidation type="whole" operator="greaterThan" allowBlank="1" showInputMessage="1" showErrorMessage="1" errorTitle="Whole numbers only allowed" error="All monies should be independently rounded to the nearest £1,000." sqref="MMS6:MMS9">
      <formula1>-99999999</formula1>
    </dataValidation>
    <dataValidation type="whole" operator="greaterThan" allowBlank="1" showInputMessage="1" showErrorMessage="1" errorTitle="Whole numbers only allowed" error="All monies should be independently rounded to the nearest £1,000." sqref="MWO6:MWO9">
      <formula1>-99999999</formula1>
    </dataValidation>
    <dataValidation type="whole" operator="greaterThan" allowBlank="1" showInputMessage="1" showErrorMessage="1" errorTitle="Whole numbers only allowed" error="All monies should be independently rounded to the nearest £1,000." sqref="NGK6:NGK9">
      <formula1>-99999999</formula1>
    </dataValidation>
    <dataValidation type="whole" operator="greaterThan" allowBlank="1" showInputMessage="1" showErrorMessage="1" errorTitle="Whole numbers only allowed" error="All monies should be independently rounded to the nearest £1,000." sqref="NQG6:NQG9">
      <formula1>-99999999</formula1>
    </dataValidation>
    <dataValidation type="whole" operator="greaterThan" allowBlank="1" showInputMessage="1" showErrorMessage="1" errorTitle="Whole numbers only allowed" error="All monies should be independently rounded to the nearest £1,000." sqref="OAC6:OAC9">
      <formula1>-99999999</formula1>
    </dataValidation>
    <dataValidation type="whole" operator="greaterThan" allowBlank="1" showInputMessage="1" showErrorMessage="1" errorTitle="Whole numbers only allowed" error="All monies should be independently rounded to the nearest £1,000." sqref="OJY6:OJY9">
      <formula1>-99999999</formula1>
    </dataValidation>
    <dataValidation type="whole" operator="greaterThan" allowBlank="1" showInputMessage="1" showErrorMessage="1" errorTitle="Whole numbers only allowed" error="All monies should be independently rounded to the nearest £1,000." sqref="OTU6:OTU9">
      <formula1>-99999999</formula1>
    </dataValidation>
    <dataValidation type="whole" operator="greaterThan" allowBlank="1" showInputMessage="1" showErrorMessage="1" errorTitle="Whole numbers only allowed" error="All monies should be independently rounded to the nearest £1,000." sqref="PDQ6:PDQ9">
      <formula1>-99999999</formula1>
    </dataValidation>
    <dataValidation type="whole" operator="greaterThan" allowBlank="1" showInputMessage="1" showErrorMessage="1" errorTitle="Whole numbers only allowed" error="All monies should be independently rounded to the nearest £1,000." sqref="PNM6:PNM9">
      <formula1>-99999999</formula1>
    </dataValidation>
    <dataValidation type="whole" operator="greaterThan" allowBlank="1" showInputMessage="1" showErrorMessage="1" errorTitle="Whole numbers only allowed" error="All monies should be independently rounded to the nearest £1,000." sqref="PXI6:PXI9">
      <formula1>-99999999</formula1>
    </dataValidation>
    <dataValidation type="whole" operator="greaterThan" allowBlank="1" showInputMessage="1" showErrorMessage="1" errorTitle="Whole numbers only allowed" error="All monies should be independently rounded to the nearest £1,000." sqref="QHE6:QHE9">
      <formula1>-99999999</formula1>
    </dataValidation>
    <dataValidation type="whole" operator="greaterThan" allowBlank="1" showInputMessage="1" showErrorMessage="1" errorTitle="Whole numbers only allowed" error="All monies should be independently rounded to the nearest £1,000." sqref="QRA6:QRA9">
      <formula1>-99999999</formula1>
    </dataValidation>
    <dataValidation type="whole" operator="greaterThan" allowBlank="1" showInputMessage="1" showErrorMessage="1" errorTitle="Whole numbers only allowed" error="All monies should be independently rounded to the nearest £1,000." sqref="RAW6:RAW9">
      <formula1>-99999999</formula1>
    </dataValidation>
    <dataValidation type="whole" operator="greaterThan" allowBlank="1" showInputMessage="1" showErrorMessage="1" errorTitle="Whole numbers only allowed" error="All monies should be independently rounded to the nearest £1,000." sqref="RKS6:RKS9">
      <formula1>-99999999</formula1>
    </dataValidation>
    <dataValidation type="whole" operator="greaterThan" allowBlank="1" showInputMessage="1" showErrorMessage="1" errorTitle="Whole numbers only allowed" error="All monies should be independently rounded to the nearest £1,000." sqref="RUO6:RUO9">
      <formula1>-99999999</formula1>
    </dataValidation>
    <dataValidation type="whole" operator="greaterThan" allowBlank="1" showInputMessage="1" showErrorMessage="1" errorTitle="Whole numbers only allowed" error="All monies should be independently rounded to the nearest £1,000." sqref="SEK6:SEK9">
      <formula1>-99999999</formula1>
    </dataValidation>
    <dataValidation type="whole" operator="greaterThan" allowBlank="1" showInputMessage="1" showErrorMessage="1" errorTitle="Whole numbers only allowed" error="All monies should be independently rounded to the nearest £1,000." sqref="SOG6:SOG9">
      <formula1>-99999999</formula1>
    </dataValidation>
    <dataValidation type="whole" operator="greaterThan" allowBlank="1" showInputMessage="1" showErrorMessage="1" errorTitle="Whole numbers only allowed" error="All monies should be independently rounded to the nearest £1,000." sqref="SYC6:SYC9">
      <formula1>-99999999</formula1>
    </dataValidation>
    <dataValidation type="whole" operator="greaterThan" allowBlank="1" showInputMessage="1" showErrorMessage="1" errorTitle="Whole numbers only allowed" error="All monies should be independently rounded to the nearest £1,000." sqref="THY6:THY9">
      <formula1>-99999999</formula1>
    </dataValidation>
    <dataValidation type="whole" operator="greaterThan" allowBlank="1" showInputMessage="1" showErrorMessage="1" errorTitle="Whole numbers only allowed" error="All monies should be independently rounded to the nearest £1,000." sqref="TRU6:TRU9">
      <formula1>-99999999</formula1>
    </dataValidation>
    <dataValidation type="whole" operator="greaterThan" allowBlank="1" showInputMessage="1" showErrorMessage="1" errorTitle="Whole numbers only allowed" error="All monies should be independently rounded to the nearest £1,000." sqref="UBQ6:UBQ9">
      <formula1>-99999999</formula1>
    </dataValidation>
    <dataValidation type="whole" operator="greaterThan" allowBlank="1" showInputMessage="1" showErrorMessage="1" errorTitle="Whole numbers only allowed" error="All monies should be independently rounded to the nearest £1,000." sqref="ULM6:ULM9">
      <formula1>-99999999</formula1>
    </dataValidation>
    <dataValidation type="whole" operator="greaterThan" allowBlank="1" showInputMessage="1" showErrorMessage="1" errorTitle="Whole numbers only allowed" error="All monies should be independently rounded to the nearest £1,000." sqref="UVI6:UVI9">
      <formula1>-99999999</formula1>
    </dataValidation>
    <dataValidation type="whole" operator="greaterThan" allowBlank="1" showInputMessage="1" showErrorMessage="1" errorTitle="Whole numbers only allowed" error="All monies should be independently rounded to the nearest £1,000." sqref="VFE6:VFE9">
      <formula1>-99999999</formula1>
    </dataValidation>
    <dataValidation type="whole" operator="greaterThan" allowBlank="1" showInputMessage="1" showErrorMessage="1" errorTitle="Whole numbers only allowed" error="All monies should be independently rounded to the nearest £1,000." sqref="VPA6:VPA9">
      <formula1>-99999999</formula1>
    </dataValidation>
    <dataValidation type="whole" operator="greaterThan" allowBlank="1" showInputMessage="1" showErrorMessage="1" errorTitle="Whole numbers only allowed" error="All monies should be independently rounded to the nearest £1,000." sqref="VYW6:VYW9">
      <formula1>-99999999</formula1>
    </dataValidation>
    <dataValidation type="whole" operator="greaterThan" allowBlank="1" showInputMessage="1" showErrorMessage="1" errorTitle="Whole numbers only allowed" error="All monies should be independently rounded to the nearest £1,000." sqref="WIS6:WIS9">
      <formula1>-99999999</formula1>
    </dataValidation>
    <dataValidation type="whole" operator="greaterThan" allowBlank="1" showInputMessage="1" showErrorMessage="1" errorTitle="Whole numbers only allowed" error="All monies should be independently rounded to the nearest £1,000." sqref="WSO6:WSO9">
      <formula1>-99999999</formula1>
    </dataValidation>
  </dataValidations>
  <printOptions headings="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O105"/>
  <sheetViews>
    <sheetView zoomScaleNormal="100" workbookViewId="0">
      <pane ySplit="4" topLeftCell="A75" activePane="bottomLeft" state="frozenSplit"/>
      <selection pane="bottomLeft" activeCell="N102" sqref="N102"/>
    </sheetView>
  </sheetViews>
  <sheetFormatPr defaultColWidth="9.140625" defaultRowHeight="12.75" x14ac:dyDescent="0.2"/>
  <cols>
    <col min="1" max="1" width="10" style="200" bestFit="1" customWidth="1"/>
    <col min="2" max="2" width="3" style="129" customWidth="1"/>
    <col min="3" max="3" width="3.42578125" style="129" customWidth="1"/>
    <col min="4" max="4" width="87.28515625" style="129" customWidth="1"/>
    <col min="5" max="7" width="2.42578125" style="129" hidden="1" customWidth="1"/>
    <col min="8" max="8" width="13.140625" style="129" customWidth="1"/>
    <col min="9" max="9" width="10.85546875" style="129" customWidth="1"/>
    <col min="10" max="10" width="10.42578125" style="129" customWidth="1"/>
    <col min="11" max="11" width="15.28515625" style="129" customWidth="1"/>
    <col min="12" max="12" width="14.85546875" style="129" customWidth="1"/>
    <col min="13" max="13" width="16.42578125" style="129" bestFit="1" customWidth="1"/>
    <col min="14" max="14" width="16.140625" style="474" customWidth="1"/>
    <col min="15" max="15" width="14.85546875" style="129" customWidth="1"/>
    <col min="16" max="16" width="9.140625" style="129" customWidth="1"/>
    <col min="17" max="16384" width="9.140625" style="129"/>
  </cols>
  <sheetData>
    <row r="1" spans="1:15" customFormat="1" ht="15.4" customHeight="1" x14ac:dyDescent="0.25">
      <c r="A1" s="450" t="s">
        <v>1255</v>
      </c>
      <c r="B1" s="241" t="s">
        <v>1256</v>
      </c>
      <c r="C1" s="241"/>
      <c r="D1" s="241"/>
      <c r="E1" s="241"/>
      <c r="F1" s="241"/>
      <c r="G1" s="241"/>
      <c r="H1" s="644" t="s">
        <v>803</v>
      </c>
      <c r="I1" s="645"/>
      <c r="J1" s="645"/>
      <c r="K1" s="645"/>
      <c r="L1" s="645"/>
      <c r="M1" s="645"/>
      <c r="N1" s="645"/>
      <c r="O1" s="646"/>
    </row>
    <row r="2" spans="1:15" customFormat="1" ht="15.4" customHeight="1" x14ac:dyDescent="0.25">
      <c r="A2" s="258"/>
      <c r="B2" s="244"/>
      <c r="C2" s="244"/>
      <c r="D2" s="244"/>
      <c r="E2" s="244"/>
      <c r="F2" s="244"/>
      <c r="G2" s="244"/>
      <c r="H2" s="451">
        <v>1</v>
      </c>
      <c r="I2" s="451">
        <v>2</v>
      </c>
      <c r="J2" s="451">
        <v>3</v>
      </c>
      <c r="K2" s="451">
        <v>4</v>
      </c>
      <c r="L2" s="451">
        <v>5</v>
      </c>
      <c r="M2" s="451">
        <v>6</v>
      </c>
      <c r="N2" s="452">
        <v>7</v>
      </c>
      <c r="O2" s="451">
        <v>8</v>
      </c>
    </row>
    <row r="3" spans="1:15" customFormat="1" ht="45.4" customHeight="1" x14ac:dyDescent="0.25">
      <c r="A3" s="281"/>
      <c r="B3" s="282"/>
      <c r="C3" s="282"/>
      <c r="D3" s="244"/>
      <c r="E3" s="282"/>
      <c r="F3" s="282"/>
      <c r="G3" s="283"/>
      <c r="H3" s="453" t="s">
        <v>1257</v>
      </c>
      <c r="I3" s="453" t="s">
        <v>1258</v>
      </c>
      <c r="J3" s="453" t="s">
        <v>1259</v>
      </c>
      <c r="K3" s="453" t="s">
        <v>807</v>
      </c>
      <c r="L3" s="453" t="s">
        <v>809</v>
      </c>
      <c r="M3" s="453" t="s">
        <v>811</v>
      </c>
      <c r="N3" s="453" t="s">
        <v>813</v>
      </c>
      <c r="O3" s="453" t="s">
        <v>815</v>
      </c>
    </row>
    <row r="4" spans="1:15" customFormat="1" ht="15.4" customHeight="1" x14ac:dyDescent="0.25">
      <c r="A4" s="454"/>
      <c r="B4" s="455"/>
      <c r="C4" s="455"/>
      <c r="D4" s="455"/>
      <c r="E4" s="455"/>
      <c r="F4" s="455"/>
      <c r="G4" s="456"/>
      <c r="H4" s="289" t="s">
        <v>784</v>
      </c>
      <c r="I4" s="289" t="s">
        <v>784</v>
      </c>
      <c r="J4" s="289" t="s">
        <v>784</v>
      </c>
      <c r="K4" s="289" t="s">
        <v>784</v>
      </c>
      <c r="L4" s="289" t="s">
        <v>784</v>
      </c>
      <c r="M4" s="289" t="s">
        <v>784</v>
      </c>
      <c r="N4" s="289" t="s">
        <v>784</v>
      </c>
      <c r="O4" s="289" t="s">
        <v>784</v>
      </c>
    </row>
    <row r="5" spans="1:15" customFormat="1" ht="12.75" customHeight="1" x14ac:dyDescent="0.25">
      <c r="A5" s="150">
        <v>1</v>
      </c>
      <c r="B5" s="291" t="s">
        <v>1035</v>
      </c>
      <c r="C5" s="292"/>
      <c r="D5" s="292"/>
      <c r="E5" s="292"/>
      <c r="F5" s="292"/>
      <c r="G5" s="293"/>
      <c r="H5" s="154"/>
      <c r="I5" s="154"/>
      <c r="J5" s="154"/>
      <c r="K5" s="154"/>
      <c r="L5" s="154"/>
      <c r="M5" s="154"/>
      <c r="N5" s="457"/>
      <c r="O5" s="154"/>
    </row>
    <row r="6" spans="1:15" customFormat="1" ht="12.75" customHeight="1" x14ac:dyDescent="0.25">
      <c r="A6" s="150" t="s">
        <v>789</v>
      </c>
      <c r="B6" s="307"/>
      <c r="C6" s="295" t="s">
        <v>1036</v>
      </c>
      <c r="D6" s="296"/>
      <c r="E6" s="296"/>
      <c r="F6" s="296"/>
      <c r="G6" s="297"/>
      <c r="H6" s="162">
        <v>40991</v>
      </c>
      <c r="I6" s="162">
        <v>22284</v>
      </c>
      <c r="J6" s="299">
        <f t="shared" ref="J6:J50" si="0">SUM(H6:I6)</f>
        <v>63275</v>
      </c>
      <c r="K6" s="458" t="s">
        <v>1260</v>
      </c>
      <c r="L6" s="162">
        <v>9081</v>
      </c>
      <c r="M6" s="162">
        <v>1080</v>
      </c>
      <c r="N6" s="458" t="s">
        <v>1260</v>
      </c>
      <c r="O6" s="299">
        <f t="shared" ref="O6:O51" si="1">SUM(J6:M6)</f>
        <v>73436</v>
      </c>
    </row>
    <row r="7" spans="1:15" customFormat="1" ht="12.75" customHeight="1" x14ac:dyDescent="0.25">
      <c r="A7" s="150" t="s">
        <v>791</v>
      </c>
      <c r="B7" s="307"/>
      <c r="C7" s="295" t="s">
        <v>1037</v>
      </c>
      <c r="D7" s="296"/>
      <c r="E7" s="296"/>
      <c r="F7" s="296"/>
      <c r="G7" s="297"/>
      <c r="H7" s="162">
        <v>1385</v>
      </c>
      <c r="I7" s="162">
        <v>270</v>
      </c>
      <c r="J7" s="299">
        <f t="shared" si="0"/>
        <v>1655</v>
      </c>
      <c r="K7" s="458" t="s">
        <v>1260</v>
      </c>
      <c r="L7" s="162">
        <v>284</v>
      </c>
      <c r="M7" s="162">
        <v>0</v>
      </c>
      <c r="N7" s="458" t="s">
        <v>1260</v>
      </c>
      <c r="O7" s="299">
        <f t="shared" si="1"/>
        <v>1939</v>
      </c>
    </row>
    <row r="8" spans="1:15" customFormat="1" ht="12.75" customHeight="1" x14ac:dyDescent="0.25">
      <c r="A8" s="150" t="s">
        <v>793</v>
      </c>
      <c r="B8" s="307"/>
      <c r="C8" s="295" t="s">
        <v>1038</v>
      </c>
      <c r="D8" s="296"/>
      <c r="E8" s="296"/>
      <c r="F8" s="296"/>
      <c r="G8" s="297"/>
      <c r="H8" s="162">
        <v>1117</v>
      </c>
      <c r="I8" s="162">
        <v>331</v>
      </c>
      <c r="J8" s="299">
        <f t="shared" si="0"/>
        <v>1448</v>
      </c>
      <c r="K8" s="458" t="s">
        <v>1260</v>
      </c>
      <c r="L8" s="162">
        <v>527</v>
      </c>
      <c r="M8" s="162">
        <v>0</v>
      </c>
      <c r="N8" s="458" t="s">
        <v>1260</v>
      </c>
      <c r="O8" s="299">
        <f t="shared" si="1"/>
        <v>1975</v>
      </c>
    </row>
    <row r="9" spans="1:15" customFormat="1" ht="12.75" customHeight="1" x14ac:dyDescent="0.25">
      <c r="A9" s="150" t="s">
        <v>795</v>
      </c>
      <c r="B9" s="307"/>
      <c r="C9" s="295" t="s">
        <v>1039</v>
      </c>
      <c r="D9" s="296"/>
      <c r="E9" s="296"/>
      <c r="F9" s="296"/>
      <c r="G9" s="297"/>
      <c r="H9" s="162">
        <v>6244</v>
      </c>
      <c r="I9" s="162">
        <v>1170</v>
      </c>
      <c r="J9" s="299">
        <f t="shared" si="0"/>
        <v>7414</v>
      </c>
      <c r="K9" s="458" t="s">
        <v>1260</v>
      </c>
      <c r="L9" s="162">
        <v>1873</v>
      </c>
      <c r="M9" s="162">
        <v>71</v>
      </c>
      <c r="N9" s="458" t="s">
        <v>1260</v>
      </c>
      <c r="O9" s="299">
        <f t="shared" si="1"/>
        <v>9358</v>
      </c>
    </row>
    <row r="10" spans="1:15" customFormat="1" ht="12.75" customHeight="1" x14ac:dyDescent="0.25">
      <c r="A10" s="150" t="s">
        <v>797</v>
      </c>
      <c r="B10" s="307"/>
      <c r="C10" s="295" t="s">
        <v>1040</v>
      </c>
      <c r="D10" s="296"/>
      <c r="E10" s="296"/>
      <c r="F10" s="296"/>
      <c r="G10" s="297"/>
      <c r="H10" s="162">
        <v>0</v>
      </c>
      <c r="I10" s="162">
        <v>0</v>
      </c>
      <c r="J10" s="299">
        <f t="shared" si="0"/>
        <v>0</v>
      </c>
      <c r="K10" s="458" t="s">
        <v>1260</v>
      </c>
      <c r="L10" s="162">
        <v>0</v>
      </c>
      <c r="M10" s="162">
        <v>0</v>
      </c>
      <c r="N10" s="458" t="s">
        <v>1260</v>
      </c>
      <c r="O10" s="299">
        <f t="shared" si="1"/>
        <v>0</v>
      </c>
    </row>
    <row r="11" spans="1:15" customFormat="1" ht="12.75" customHeight="1" x14ac:dyDescent="0.25">
      <c r="A11" s="150" t="s">
        <v>799</v>
      </c>
      <c r="B11" s="307"/>
      <c r="C11" s="295" t="s">
        <v>1041</v>
      </c>
      <c r="D11" s="296"/>
      <c r="E11" s="296"/>
      <c r="F11" s="296"/>
      <c r="G11" s="297"/>
      <c r="H11" s="162">
        <v>0</v>
      </c>
      <c r="I11" s="162">
        <v>0</v>
      </c>
      <c r="J11" s="299">
        <f t="shared" si="0"/>
        <v>0</v>
      </c>
      <c r="K11" s="458" t="s">
        <v>1260</v>
      </c>
      <c r="L11" s="162">
        <v>0</v>
      </c>
      <c r="M11" s="162">
        <v>0</v>
      </c>
      <c r="N11" s="458" t="s">
        <v>1260</v>
      </c>
      <c r="O11" s="299">
        <f t="shared" si="1"/>
        <v>0</v>
      </c>
    </row>
    <row r="12" spans="1:15" customFormat="1" ht="12.75" customHeight="1" x14ac:dyDescent="0.25">
      <c r="A12" s="150" t="s">
        <v>801</v>
      </c>
      <c r="B12" s="307"/>
      <c r="C12" s="295" t="s">
        <v>1042</v>
      </c>
      <c r="D12" s="296"/>
      <c r="E12" s="296"/>
      <c r="F12" s="296"/>
      <c r="G12" s="297"/>
      <c r="H12" s="162">
        <v>0</v>
      </c>
      <c r="I12" s="162">
        <v>0</v>
      </c>
      <c r="J12" s="299">
        <f t="shared" si="0"/>
        <v>0</v>
      </c>
      <c r="K12" s="458" t="s">
        <v>1260</v>
      </c>
      <c r="L12" s="162">
        <v>0</v>
      </c>
      <c r="M12" s="162">
        <v>0</v>
      </c>
      <c r="N12" s="458" t="s">
        <v>1260</v>
      </c>
      <c r="O12" s="299">
        <f t="shared" si="1"/>
        <v>0</v>
      </c>
    </row>
    <row r="13" spans="1:15" customFormat="1" ht="12.75" customHeight="1" x14ac:dyDescent="0.25">
      <c r="A13" s="150" t="s">
        <v>861</v>
      </c>
      <c r="B13" s="307"/>
      <c r="C13" s="295" t="s">
        <v>1043</v>
      </c>
      <c r="D13" s="296"/>
      <c r="E13" s="296"/>
      <c r="F13" s="296"/>
      <c r="G13" s="297"/>
      <c r="H13" s="162">
        <v>0</v>
      </c>
      <c r="I13" s="162">
        <v>0</v>
      </c>
      <c r="J13" s="299">
        <f t="shared" si="0"/>
        <v>0</v>
      </c>
      <c r="K13" s="458" t="s">
        <v>1260</v>
      </c>
      <c r="L13" s="162">
        <v>0</v>
      </c>
      <c r="M13" s="162">
        <v>0</v>
      </c>
      <c r="N13" s="458" t="s">
        <v>1260</v>
      </c>
      <c r="O13" s="299">
        <f t="shared" si="1"/>
        <v>0</v>
      </c>
    </row>
    <row r="14" spans="1:15" customFormat="1" ht="12.75" customHeight="1" x14ac:dyDescent="0.25">
      <c r="A14" s="150" t="s">
        <v>863</v>
      </c>
      <c r="B14" s="307"/>
      <c r="C14" s="295" t="s">
        <v>1044</v>
      </c>
      <c r="D14" s="296"/>
      <c r="E14" s="296"/>
      <c r="F14" s="296"/>
      <c r="G14" s="297"/>
      <c r="H14" s="162">
        <v>13741</v>
      </c>
      <c r="I14" s="162">
        <v>13369</v>
      </c>
      <c r="J14" s="299">
        <f t="shared" si="0"/>
        <v>27110</v>
      </c>
      <c r="K14" s="458" t="s">
        <v>1260</v>
      </c>
      <c r="L14" s="162">
        <v>11808</v>
      </c>
      <c r="M14" s="162">
        <v>915</v>
      </c>
      <c r="N14" s="458" t="s">
        <v>1260</v>
      </c>
      <c r="O14" s="299">
        <f t="shared" si="1"/>
        <v>39833</v>
      </c>
    </row>
    <row r="15" spans="1:15" customFormat="1" ht="12.75" customHeight="1" x14ac:dyDescent="0.25">
      <c r="A15" s="150" t="s">
        <v>865</v>
      </c>
      <c r="B15" s="307"/>
      <c r="C15" s="295" t="s">
        <v>1045</v>
      </c>
      <c r="D15" s="296"/>
      <c r="E15" s="296"/>
      <c r="F15" s="296"/>
      <c r="G15" s="297"/>
      <c r="H15" s="162">
        <v>0</v>
      </c>
      <c r="I15" s="162">
        <v>0</v>
      </c>
      <c r="J15" s="299">
        <f t="shared" si="0"/>
        <v>0</v>
      </c>
      <c r="K15" s="458" t="s">
        <v>1260</v>
      </c>
      <c r="L15" s="162">
        <v>0</v>
      </c>
      <c r="M15" s="162">
        <v>0</v>
      </c>
      <c r="N15" s="458" t="s">
        <v>1260</v>
      </c>
      <c r="O15" s="299">
        <f t="shared" si="1"/>
        <v>0</v>
      </c>
    </row>
    <row r="16" spans="1:15" customFormat="1" ht="12.75" customHeight="1" x14ac:dyDescent="0.25">
      <c r="A16" s="150" t="s">
        <v>1046</v>
      </c>
      <c r="B16" s="307"/>
      <c r="C16" s="295" t="s">
        <v>1047</v>
      </c>
      <c r="D16" s="296"/>
      <c r="E16" s="296"/>
      <c r="F16" s="296"/>
      <c r="G16" s="297"/>
      <c r="H16" s="162">
        <v>6669</v>
      </c>
      <c r="I16" s="162">
        <v>3444</v>
      </c>
      <c r="J16" s="299">
        <f t="shared" si="0"/>
        <v>10113</v>
      </c>
      <c r="K16" s="458" t="s">
        <v>1260</v>
      </c>
      <c r="L16" s="162">
        <v>4330</v>
      </c>
      <c r="M16" s="162">
        <v>63</v>
      </c>
      <c r="N16" s="458" t="s">
        <v>1260</v>
      </c>
      <c r="O16" s="299">
        <f t="shared" si="1"/>
        <v>14506</v>
      </c>
    </row>
    <row r="17" spans="1:15" customFormat="1" ht="12.75" customHeight="1" x14ac:dyDescent="0.25">
      <c r="A17" s="150" t="s">
        <v>1048</v>
      </c>
      <c r="B17" s="307"/>
      <c r="C17" s="295" t="s">
        <v>1049</v>
      </c>
      <c r="D17" s="296"/>
      <c r="E17" s="296"/>
      <c r="F17" s="296"/>
      <c r="G17" s="297"/>
      <c r="H17" s="162">
        <v>17944</v>
      </c>
      <c r="I17" s="162">
        <v>9946</v>
      </c>
      <c r="J17" s="299">
        <f t="shared" si="0"/>
        <v>27890</v>
      </c>
      <c r="K17" s="458" t="s">
        <v>1260</v>
      </c>
      <c r="L17" s="162">
        <v>8555</v>
      </c>
      <c r="M17" s="162">
        <v>2201</v>
      </c>
      <c r="N17" s="458" t="s">
        <v>1260</v>
      </c>
      <c r="O17" s="299">
        <f t="shared" si="1"/>
        <v>38646</v>
      </c>
    </row>
    <row r="18" spans="1:15" customFormat="1" ht="12.75" customHeight="1" x14ac:dyDescent="0.25">
      <c r="A18" s="150" t="s">
        <v>1050</v>
      </c>
      <c r="B18" s="307"/>
      <c r="C18" s="295" t="s">
        <v>1051</v>
      </c>
      <c r="D18" s="296"/>
      <c r="E18" s="296"/>
      <c r="F18" s="296"/>
      <c r="G18" s="297"/>
      <c r="H18" s="162">
        <v>3852</v>
      </c>
      <c r="I18" s="162">
        <v>2317</v>
      </c>
      <c r="J18" s="299">
        <f t="shared" si="0"/>
        <v>6169</v>
      </c>
      <c r="K18" s="458" t="s">
        <v>1260</v>
      </c>
      <c r="L18" s="162">
        <v>1976</v>
      </c>
      <c r="M18" s="162">
        <v>76</v>
      </c>
      <c r="N18" s="458" t="s">
        <v>1260</v>
      </c>
      <c r="O18" s="299">
        <f t="shared" si="1"/>
        <v>8221</v>
      </c>
    </row>
    <row r="19" spans="1:15" customFormat="1" ht="12.75" customHeight="1" x14ac:dyDescent="0.25">
      <c r="A19" s="150" t="s">
        <v>1052</v>
      </c>
      <c r="B19" s="307"/>
      <c r="C19" s="295" t="s">
        <v>1053</v>
      </c>
      <c r="D19" s="296"/>
      <c r="E19" s="296"/>
      <c r="F19" s="296"/>
      <c r="G19" s="297"/>
      <c r="H19" s="162">
        <v>6217</v>
      </c>
      <c r="I19" s="162">
        <v>5365</v>
      </c>
      <c r="J19" s="299">
        <f t="shared" si="0"/>
        <v>11582</v>
      </c>
      <c r="K19" s="458" t="s">
        <v>1260</v>
      </c>
      <c r="L19" s="162">
        <v>5415</v>
      </c>
      <c r="M19" s="162">
        <v>513</v>
      </c>
      <c r="N19" s="458" t="s">
        <v>1260</v>
      </c>
      <c r="O19" s="299">
        <f t="shared" si="1"/>
        <v>17510</v>
      </c>
    </row>
    <row r="20" spans="1:15" customFormat="1" ht="12.75" customHeight="1" x14ac:dyDescent="0.25">
      <c r="A20" s="150" t="s">
        <v>1054</v>
      </c>
      <c r="B20" s="307"/>
      <c r="C20" s="295" t="s">
        <v>1055</v>
      </c>
      <c r="D20" s="296"/>
      <c r="E20" s="296"/>
      <c r="F20" s="296"/>
      <c r="G20" s="297"/>
      <c r="H20" s="162">
        <v>0</v>
      </c>
      <c r="I20" s="162">
        <v>0</v>
      </c>
      <c r="J20" s="299">
        <f t="shared" si="0"/>
        <v>0</v>
      </c>
      <c r="K20" s="458" t="s">
        <v>1260</v>
      </c>
      <c r="L20" s="162">
        <v>0</v>
      </c>
      <c r="M20" s="162">
        <v>0</v>
      </c>
      <c r="N20" s="458" t="s">
        <v>1260</v>
      </c>
      <c r="O20" s="299">
        <f t="shared" si="1"/>
        <v>0</v>
      </c>
    </row>
    <row r="21" spans="1:15" customFormat="1" ht="12.75" customHeight="1" x14ac:dyDescent="0.25">
      <c r="A21" s="150" t="s">
        <v>1056</v>
      </c>
      <c r="B21" s="307"/>
      <c r="C21" s="295" t="s">
        <v>1057</v>
      </c>
      <c r="D21" s="296"/>
      <c r="E21" s="296"/>
      <c r="F21" s="296"/>
      <c r="G21" s="297"/>
      <c r="H21" s="162">
        <v>1784</v>
      </c>
      <c r="I21" s="162">
        <v>656</v>
      </c>
      <c r="J21" s="299">
        <f t="shared" si="0"/>
        <v>2440</v>
      </c>
      <c r="K21" s="458" t="s">
        <v>1260</v>
      </c>
      <c r="L21" s="162">
        <v>1530</v>
      </c>
      <c r="M21" s="162">
        <v>0</v>
      </c>
      <c r="N21" s="458" t="s">
        <v>1260</v>
      </c>
      <c r="O21" s="299">
        <f t="shared" si="1"/>
        <v>3970</v>
      </c>
    </row>
    <row r="22" spans="1:15" customFormat="1" ht="12.75" customHeight="1" x14ac:dyDescent="0.25">
      <c r="A22" s="150" t="s">
        <v>1058</v>
      </c>
      <c r="B22" s="307"/>
      <c r="C22" s="295" t="s">
        <v>1059</v>
      </c>
      <c r="D22" s="296"/>
      <c r="E22" s="296"/>
      <c r="F22" s="296"/>
      <c r="G22" s="297"/>
      <c r="H22" s="162">
        <v>0</v>
      </c>
      <c r="I22" s="162">
        <v>0</v>
      </c>
      <c r="J22" s="299">
        <f t="shared" si="0"/>
        <v>0</v>
      </c>
      <c r="K22" s="458" t="s">
        <v>1260</v>
      </c>
      <c r="L22" s="162">
        <v>0</v>
      </c>
      <c r="M22" s="162">
        <v>0</v>
      </c>
      <c r="N22" s="458" t="s">
        <v>1260</v>
      </c>
      <c r="O22" s="299">
        <f t="shared" si="1"/>
        <v>0</v>
      </c>
    </row>
    <row r="23" spans="1:15" customFormat="1" ht="12.75" customHeight="1" x14ac:dyDescent="0.25">
      <c r="A23" s="150" t="s">
        <v>1060</v>
      </c>
      <c r="B23" s="307"/>
      <c r="C23" s="295" t="s">
        <v>1061</v>
      </c>
      <c r="D23" s="296"/>
      <c r="E23" s="296"/>
      <c r="F23" s="296"/>
      <c r="G23" s="297"/>
      <c r="H23" s="162">
        <v>2929</v>
      </c>
      <c r="I23" s="162">
        <v>1539</v>
      </c>
      <c r="J23" s="299">
        <f t="shared" si="0"/>
        <v>4468</v>
      </c>
      <c r="K23" s="458" t="s">
        <v>1260</v>
      </c>
      <c r="L23" s="162">
        <v>2397</v>
      </c>
      <c r="M23" s="162">
        <v>537</v>
      </c>
      <c r="N23" s="458" t="s">
        <v>1260</v>
      </c>
      <c r="O23" s="299">
        <f t="shared" si="1"/>
        <v>7402</v>
      </c>
    </row>
    <row r="24" spans="1:15" customFormat="1" ht="12.75" customHeight="1" x14ac:dyDescent="0.25">
      <c r="A24" s="150" t="s">
        <v>1062</v>
      </c>
      <c r="B24" s="307"/>
      <c r="C24" s="295" t="s">
        <v>1063</v>
      </c>
      <c r="D24" s="296"/>
      <c r="E24" s="296"/>
      <c r="F24" s="296"/>
      <c r="G24" s="297"/>
      <c r="H24" s="162">
        <v>3475</v>
      </c>
      <c r="I24" s="162">
        <v>1246</v>
      </c>
      <c r="J24" s="299">
        <f t="shared" si="0"/>
        <v>4721</v>
      </c>
      <c r="K24" s="458" t="s">
        <v>1260</v>
      </c>
      <c r="L24" s="162">
        <v>2459</v>
      </c>
      <c r="M24" s="162">
        <v>0</v>
      </c>
      <c r="N24" s="458" t="s">
        <v>1260</v>
      </c>
      <c r="O24" s="299">
        <f t="shared" si="1"/>
        <v>7180</v>
      </c>
    </row>
    <row r="25" spans="1:15" customFormat="1" ht="12.75" customHeight="1" x14ac:dyDescent="0.25">
      <c r="A25" s="150" t="s">
        <v>1064</v>
      </c>
      <c r="B25" s="307"/>
      <c r="C25" s="295" t="s">
        <v>1065</v>
      </c>
      <c r="D25" s="296"/>
      <c r="E25" s="296"/>
      <c r="F25" s="296"/>
      <c r="G25" s="297"/>
      <c r="H25" s="162">
        <v>2173</v>
      </c>
      <c r="I25" s="162">
        <v>788</v>
      </c>
      <c r="J25" s="299">
        <f t="shared" si="0"/>
        <v>2961</v>
      </c>
      <c r="K25" s="458" t="s">
        <v>1260</v>
      </c>
      <c r="L25" s="162">
        <v>1772</v>
      </c>
      <c r="M25" s="162">
        <v>0</v>
      </c>
      <c r="N25" s="458" t="s">
        <v>1260</v>
      </c>
      <c r="O25" s="299">
        <f t="shared" si="1"/>
        <v>4733</v>
      </c>
    </row>
    <row r="26" spans="1:15" customFormat="1" ht="12.75" customHeight="1" x14ac:dyDescent="0.25">
      <c r="A26" s="150" t="s">
        <v>1066</v>
      </c>
      <c r="B26" s="307"/>
      <c r="C26" s="295" t="s">
        <v>1067</v>
      </c>
      <c r="D26" s="296"/>
      <c r="E26" s="296"/>
      <c r="F26" s="296"/>
      <c r="G26" s="297"/>
      <c r="H26" s="162">
        <v>7814</v>
      </c>
      <c r="I26" s="162">
        <v>6248</v>
      </c>
      <c r="J26" s="299">
        <f t="shared" si="0"/>
        <v>14062</v>
      </c>
      <c r="K26" s="458" t="s">
        <v>1260</v>
      </c>
      <c r="L26" s="162">
        <v>10952</v>
      </c>
      <c r="M26" s="162">
        <v>56</v>
      </c>
      <c r="N26" s="458" t="s">
        <v>1260</v>
      </c>
      <c r="O26" s="299">
        <f t="shared" si="1"/>
        <v>25070</v>
      </c>
    </row>
    <row r="27" spans="1:15" customFormat="1" ht="12.75" customHeight="1" x14ac:dyDescent="0.25">
      <c r="A27" s="150" t="s">
        <v>1068</v>
      </c>
      <c r="B27" s="307"/>
      <c r="C27" s="295" t="s">
        <v>1069</v>
      </c>
      <c r="D27" s="296"/>
      <c r="E27" s="296"/>
      <c r="F27" s="296"/>
      <c r="G27" s="297"/>
      <c r="H27" s="162">
        <v>5745</v>
      </c>
      <c r="I27" s="162">
        <v>1335</v>
      </c>
      <c r="J27" s="299">
        <f t="shared" si="0"/>
        <v>7080</v>
      </c>
      <c r="K27" s="458" t="s">
        <v>1260</v>
      </c>
      <c r="L27" s="162">
        <v>3825</v>
      </c>
      <c r="M27" s="162">
        <v>0</v>
      </c>
      <c r="N27" s="458" t="s">
        <v>1260</v>
      </c>
      <c r="O27" s="299">
        <f t="shared" si="1"/>
        <v>10905</v>
      </c>
    </row>
    <row r="28" spans="1:15" customFormat="1" ht="12.75" customHeight="1" x14ac:dyDescent="0.25">
      <c r="A28" s="150" t="s">
        <v>1070</v>
      </c>
      <c r="B28" s="307"/>
      <c r="C28" s="295" t="s">
        <v>1071</v>
      </c>
      <c r="D28" s="296"/>
      <c r="E28" s="296"/>
      <c r="F28" s="296"/>
      <c r="G28" s="297"/>
      <c r="H28" s="162">
        <v>3813</v>
      </c>
      <c r="I28" s="162">
        <v>232</v>
      </c>
      <c r="J28" s="299">
        <f t="shared" si="0"/>
        <v>4045</v>
      </c>
      <c r="K28" s="458" t="s">
        <v>1260</v>
      </c>
      <c r="L28" s="162">
        <v>1724</v>
      </c>
      <c r="M28" s="162">
        <v>0</v>
      </c>
      <c r="N28" s="458" t="s">
        <v>1260</v>
      </c>
      <c r="O28" s="299">
        <f t="shared" si="1"/>
        <v>5769</v>
      </c>
    </row>
    <row r="29" spans="1:15" customFormat="1" ht="12.75" customHeight="1" x14ac:dyDescent="0.25">
      <c r="A29" s="150" t="s">
        <v>1072</v>
      </c>
      <c r="B29" s="307"/>
      <c r="C29" s="295" t="s">
        <v>1073</v>
      </c>
      <c r="D29" s="296"/>
      <c r="E29" s="296"/>
      <c r="F29" s="296"/>
      <c r="G29" s="297"/>
      <c r="H29" s="162">
        <v>2521</v>
      </c>
      <c r="I29" s="162">
        <v>123</v>
      </c>
      <c r="J29" s="299">
        <f t="shared" si="0"/>
        <v>2644</v>
      </c>
      <c r="K29" s="458" t="s">
        <v>1260</v>
      </c>
      <c r="L29" s="162">
        <v>666</v>
      </c>
      <c r="M29" s="162">
        <v>0</v>
      </c>
      <c r="N29" s="458" t="s">
        <v>1260</v>
      </c>
      <c r="O29" s="299">
        <f t="shared" si="1"/>
        <v>3310</v>
      </c>
    </row>
    <row r="30" spans="1:15" customFormat="1" ht="12.75" customHeight="1" x14ac:dyDescent="0.25">
      <c r="A30" s="150" t="s">
        <v>1074</v>
      </c>
      <c r="B30" s="307"/>
      <c r="C30" s="295" t="s">
        <v>1075</v>
      </c>
      <c r="D30" s="296"/>
      <c r="E30" s="296"/>
      <c r="F30" s="296"/>
      <c r="G30" s="297"/>
      <c r="H30" s="162">
        <v>3645</v>
      </c>
      <c r="I30" s="162">
        <v>685</v>
      </c>
      <c r="J30" s="299">
        <f t="shared" si="0"/>
        <v>4330</v>
      </c>
      <c r="K30" s="458" t="s">
        <v>1260</v>
      </c>
      <c r="L30" s="162">
        <v>928</v>
      </c>
      <c r="M30" s="162">
        <v>0</v>
      </c>
      <c r="N30" s="458" t="s">
        <v>1260</v>
      </c>
      <c r="O30" s="299">
        <f t="shared" si="1"/>
        <v>5258</v>
      </c>
    </row>
    <row r="31" spans="1:15" customFormat="1" ht="12.75" customHeight="1" x14ac:dyDescent="0.25">
      <c r="A31" s="150" t="s">
        <v>1076</v>
      </c>
      <c r="B31" s="307"/>
      <c r="C31" s="295" t="s">
        <v>1077</v>
      </c>
      <c r="D31" s="296"/>
      <c r="E31" s="296"/>
      <c r="F31" s="296"/>
      <c r="G31" s="297"/>
      <c r="H31" s="162">
        <v>981</v>
      </c>
      <c r="I31" s="162">
        <v>117</v>
      </c>
      <c r="J31" s="299">
        <f t="shared" si="0"/>
        <v>1098</v>
      </c>
      <c r="K31" s="458" t="s">
        <v>1260</v>
      </c>
      <c r="L31" s="162">
        <v>226</v>
      </c>
      <c r="M31" s="162">
        <v>0</v>
      </c>
      <c r="N31" s="458" t="s">
        <v>1260</v>
      </c>
      <c r="O31" s="299">
        <f t="shared" si="1"/>
        <v>1324</v>
      </c>
    </row>
    <row r="32" spans="1:15" customFormat="1" ht="12.75" customHeight="1" x14ac:dyDescent="0.25">
      <c r="A32" s="150" t="s">
        <v>1078</v>
      </c>
      <c r="B32" s="307"/>
      <c r="C32" s="295" t="s">
        <v>1079</v>
      </c>
      <c r="D32" s="296"/>
      <c r="E32" s="296"/>
      <c r="F32" s="296"/>
      <c r="G32" s="297"/>
      <c r="H32" s="162">
        <v>2128</v>
      </c>
      <c r="I32" s="162">
        <v>642</v>
      </c>
      <c r="J32" s="299">
        <f t="shared" si="0"/>
        <v>2770</v>
      </c>
      <c r="K32" s="458" t="s">
        <v>1260</v>
      </c>
      <c r="L32" s="162">
        <v>639</v>
      </c>
      <c r="M32" s="162">
        <v>0</v>
      </c>
      <c r="N32" s="458" t="s">
        <v>1260</v>
      </c>
      <c r="O32" s="299">
        <f t="shared" si="1"/>
        <v>3409</v>
      </c>
    </row>
    <row r="33" spans="1:15" customFormat="1" ht="12.75" customHeight="1" x14ac:dyDescent="0.25">
      <c r="A33" s="150" t="s">
        <v>1080</v>
      </c>
      <c r="B33" s="307"/>
      <c r="C33" s="295" t="s">
        <v>1081</v>
      </c>
      <c r="D33" s="296"/>
      <c r="E33" s="296"/>
      <c r="F33" s="296"/>
      <c r="G33" s="297"/>
      <c r="H33" s="162">
        <v>3910</v>
      </c>
      <c r="I33" s="162">
        <v>1276</v>
      </c>
      <c r="J33" s="299">
        <f t="shared" si="0"/>
        <v>5186</v>
      </c>
      <c r="K33" s="458" t="s">
        <v>1260</v>
      </c>
      <c r="L33" s="162">
        <v>1381</v>
      </c>
      <c r="M33" s="162">
        <v>0</v>
      </c>
      <c r="N33" s="458" t="s">
        <v>1260</v>
      </c>
      <c r="O33" s="299">
        <f t="shared" si="1"/>
        <v>6567</v>
      </c>
    </row>
    <row r="34" spans="1:15" customFormat="1" ht="12.75" customHeight="1" x14ac:dyDescent="0.25">
      <c r="A34" s="150" t="s">
        <v>1082</v>
      </c>
      <c r="B34" s="307"/>
      <c r="C34" s="295" t="s">
        <v>1083</v>
      </c>
      <c r="D34" s="296"/>
      <c r="E34" s="296"/>
      <c r="F34" s="296"/>
      <c r="G34" s="297"/>
      <c r="H34" s="162">
        <v>3861</v>
      </c>
      <c r="I34" s="162">
        <v>637</v>
      </c>
      <c r="J34" s="299">
        <f t="shared" si="0"/>
        <v>4498</v>
      </c>
      <c r="K34" s="458" t="s">
        <v>1260</v>
      </c>
      <c r="L34" s="162">
        <v>2067</v>
      </c>
      <c r="M34" s="162">
        <v>0</v>
      </c>
      <c r="N34" s="458" t="s">
        <v>1260</v>
      </c>
      <c r="O34" s="299">
        <f t="shared" si="1"/>
        <v>6565</v>
      </c>
    </row>
    <row r="35" spans="1:15" customFormat="1" ht="12.75" customHeight="1" x14ac:dyDescent="0.25">
      <c r="A35" s="150" t="s">
        <v>1084</v>
      </c>
      <c r="B35" s="307"/>
      <c r="C35" s="295" t="s">
        <v>1085</v>
      </c>
      <c r="D35" s="296"/>
      <c r="E35" s="296"/>
      <c r="F35" s="296"/>
      <c r="G35" s="297"/>
      <c r="H35" s="162">
        <v>7281</v>
      </c>
      <c r="I35" s="162">
        <v>1840</v>
      </c>
      <c r="J35" s="299">
        <f t="shared" si="0"/>
        <v>9121</v>
      </c>
      <c r="K35" s="458" t="s">
        <v>1260</v>
      </c>
      <c r="L35" s="162">
        <v>1579</v>
      </c>
      <c r="M35" s="162">
        <v>324</v>
      </c>
      <c r="N35" s="458" t="s">
        <v>1260</v>
      </c>
      <c r="O35" s="299">
        <f t="shared" si="1"/>
        <v>11024</v>
      </c>
    </row>
    <row r="36" spans="1:15" customFormat="1" ht="12.75" customHeight="1" x14ac:dyDescent="0.25">
      <c r="A36" s="150" t="s">
        <v>1086</v>
      </c>
      <c r="B36" s="307"/>
      <c r="C36" s="295" t="s">
        <v>1087</v>
      </c>
      <c r="D36" s="296"/>
      <c r="E36" s="296"/>
      <c r="F36" s="296"/>
      <c r="G36" s="297"/>
      <c r="H36" s="162">
        <v>3047</v>
      </c>
      <c r="I36" s="162">
        <v>735</v>
      </c>
      <c r="J36" s="299">
        <f t="shared" si="0"/>
        <v>3782</v>
      </c>
      <c r="K36" s="458" t="s">
        <v>1260</v>
      </c>
      <c r="L36" s="162">
        <v>755</v>
      </c>
      <c r="M36" s="162">
        <v>0</v>
      </c>
      <c r="N36" s="458" t="s">
        <v>1260</v>
      </c>
      <c r="O36" s="299">
        <f t="shared" si="1"/>
        <v>4537</v>
      </c>
    </row>
    <row r="37" spans="1:15" customFormat="1" ht="12.75" customHeight="1" x14ac:dyDescent="0.25">
      <c r="A37" s="150" t="s">
        <v>1088</v>
      </c>
      <c r="B37" s="307"/>
      <c r="C37" s="295" t="s">
        <v>1089</v>
      </c>
      <c r="D37" s="296"/>
      <c r="E37" s="296"/>
      <c r="F37" s="296"/>
      <c r="G37" s="297"/>
      <c r="H37" s="162">
        <v>4608</v>
      </c>
      <c r="I37" s="162">
        <v>1163</v>
      </c>
      <c r="J37" s="299">
        <f t="shared" si="0"/>
        <v>5771</v>
      </c>
      <c r="K37" s="458" t="s">
        <v>1260</v>
      </c>
      <c r="L37" s="162">
        <v>857</v>
      </c>
      <c r="M37" s="162">
        <v>0</v>
      </c>
      <c r="N37" s="458" t="s">
        <v>1260</v>
      </c>
      <c r="O37" s="299">
        <f t="shared" si="1"/>
        <v>6628</v>
      </c>
    </row>
    <row r="38" spans="1:15" customFormat="1" ht="12.75" customHeight="1" x14ac:dyDescent="0.25">
      <c r="A38" s="150" t="s">
        <v>1090</v>
      </c>
      <c r="B38" s="307"/>
      <c r="C38" s="295" t="s">
        <v>1091</v>
      </c>
      <c r="D38" s="296"/>
      <c r="E38" s="296"/>
      <c r="F38" s="296"/>
      <c r="G38" s="297"/>
      <c r="H38" s="162">
        <v>10533</v>
      </c>
      <c r="I38" s="162">
        <v>4763</v>
      </c>
      <c r="J38" s="299">
        <f t="shared" si="0"/>
        <v>15296</v>
      </c>
      <c r="K38" s="458" t="s">
        <v>1260</v>
      </c>
      <c r="L38" s="162">
        <v>7402</v>
      </c>
      <c r="M38" s="162">
        <v>12</v>
      </c>
      <c r="N38" s="458" t="s">
        <v>1260</v>
      </c>
      <c r="O38" s="299">
        <f t="shared" si="1"/>
        <v>22710</v>
      </c>
    </row>
    <row r="39" spans="1:15" customFormat="1" ht="12.75" customHeight="1" x14ac:dyDescent="0.25">
      <c r="A39" s="150" t="s">
        <v>1092</v>
      </c>
      <c r="B39" s="307"/>
      <c r="C39" s="295" t="s">
        <v>1093</v>
      </c>
      <c r="D39" s="296"/>
      <c r="E39" s="296"/>
      <c r="F39" s="296"/>
      <c r="G39" s="297"/>
      <c r="H39" s="162">
        <v>0</v>
      </c>
      <c r="I39" s="162">
        <v>0</v>
      </c>
      <c r="J39" s="299">
        <f t="shared" si="0"/>
        <v>0</v>
      </c>
      <c r="K39" s="458" t="s">
        <v>1260</v>
      </c>
      <c r="L39" s="162">
        <v>0</v>
      </c>
      <c r="M39" s="162">
        <v>0</v>
      </c>
      <c r="N39" s="458" t="s">
        <v>1260</v>
      </c>
      <c r="O39" s="299">
        <f t="shared" si="1"/>
        <v>0</v>
      </c>
    </row>
    <row r="40" spans="1:15" customFormat="1" ht="12.75" customHeight="1" x14ac:dyDescent="0.25">
      <c r="A40" s="150" t="s">
        <v>1094</v>
      </c>
      <c r="B40" s="307"/>
      <c r="C40" s="295" t="s">
        <v>1095</v>
      </c>
      <c r="D40" s="296"/>
      <c r="E40" s="296"/>
      <c r="F40" s="296"/>
      <c r="G40" s="297"/>
      <c r="H40" s="162">
        <v>9978</v>
      </c>
      <c r="I40" s="162">
        <v>3194</v>
      </c>
      <c r="J40" s="299">
        <f t="shared" si="0"/>
        <v>13172</v>
      </c>
      <c r="K40" s="458" t="s">
        <v>1260</v>
      </c>
      <c r="L40" s="162">
        <v>3796</v>
      </c>
      <c r="M40" s="162">
        <v>102</v>
      </c>
      <c r="N40" s="458" t="s">
        <v>1260</v>
      </c>
      <c r="O40" s="299">
        <f t="shared" si="1"/>
        <v>17070</v>
      </c>
    </row>
    <row r="41" spans="1:15" customFormat="1" ht="12.75" customHeight="1" x14ac:dyDescent="0.25">
      <c r="A41" s="150" t="s">
        <v>1096</v>
      </c>
      <c r="B41" s="307"/>
      <c r="C41" s="295" t="s">
        <v>1097</v>
      </c>
      <c r="D41" s="296"/>
      <c r="E41" s="296"/>
      <c r="F41" s="296"/>
      <c r="G41" s="297"/>
      <c r="H41" s="162">
        <v>3719</v>
      </c>
      <c r="I41" s="162">
        <v>1457</v>
      </c>
      <c r="J41" s="299">
        <f t="shared" si="0"/>
        <v>5176</v>
      </c>
      <c r="K41" s="458" t="s">
        <v>1260</v>
      </c>
      <c r="L41" s="162">
        <v>1456</v>
      </c>
      <c r="M41" s="162">
        <v>0</v>
      </c>
      <c r="N41" s="458" t="s">
        <v>1260</v>
      </c>
      <c r="O41" s="299">
        <f t="shared" si="1"/>
        <v>6632</v>
      </c>
    </row>
    <row r="42" spans="1:15" customFormat="1" ht="12.75" customHeight="1" x14ac:dyDescent="0.25">
      <c r="A42" s="150" t="s">
        <v>1098</v>
      </c>
      <c r="B42" s="307"/>
      <c r="C42" s="295" t="s">
        <v>1099</v>
      </c>
      <c r="D42" s="296"/>
      <c r="E42" s="296"/>
      <c r="F42" s="296"/>
      <c r="G42" s="297"/>
      <c r="H42" s="162">
        <v>7780</v>
      </c>
      <c r="I42" s="162">
        <v>2024</v>
      </c>
      <c r="J42" s="299">
        <f t="shared" si="0"/>
        <v>9804</v>
      </c>
      <c r="K42" s="458" t="s">
        <v>1260</v>
      </c>
      <c r="L42" s="162">
        <v>1660</v>
      </c>
      <c r="M42" s="162">
        <v>12</v>
      </c>
      <c r="N42" s="458" t="s">
        <v>1260</v>
      </c>
      <c r="O42" s="299">
        <f t="shared" si="1"/>
        <v>11476</v>
      </c>
    </row>
    <row r="43" spans="1:15" customFormat="1" ht="12.75" customHeight="1" x14ac:dyDescent="0.25">
      <c r="A43" s="150" t="s">
        <v>1100</v>
      </c>
      <c r="B43" s="307"/>
      <c r="C43" s="295" t="s">
        <v>1101</v>
      </c>
      <c r="D43" s="296"/>
      <c r="E43" s="296"/>
      <c r="F43" s="296"/>
      <c r="G43" s="297"/>
      <c r="H43" s="162">
        <v>3245</v>
      </c>
      <c r="I43" s="162">
        <v>985</v>
      </c>
      <c r="J43" s="299">
        <f t="shared" si="0"/>
        <v>4230</v>
      </c>
      <c r="K43" s="458" t="s">
        <v>1260</v>
      </c>
      <c r="L43" s="162">
        <v>747</v>
      </c>
      <c r="M43" s="162">
        <v>0</v>
      </c>
      <c r="N43" s="458" t="s">
        <v>1260</v>
      </c>
      <c r="O43" s="299">
        <f t="shared" si="1"/>
        <v>4977</v>
      </c>
    </row>
    <row r="44" spans="1:15" customFormat="1" ht="12.75" customHeight="1" x14ac:dyDescent="0.25">
      <c r="A44" s="150" t="s">
        <v>1102</v>
      </c>
      <c r="B44" s="307"/>
      <c r="C44" s="295" t="s">
        <v>1103</v>
      </c>
      <c r="D44" s="296"/>
      <c r="E44" s="296"/>
      <c r="F44" s="296"/>
      <c r="G44" s="297"/>
      <c r="H44" s="162">
        <v>4324</v>
      </c>
      <c r="I44" s="162">
        <v>1409</v>
      </c>
      <c r="J44" s="299">
        <f t="shared" si="0"/>
        <v>5733</v>
      </c>
      <c r="K44" s="458" t="s">
        <v>1260</v>
      </c>
      <c r="L44" s="162">
        <v>1232</v>
      </c>
      <c r="M44" s="162">
        <v>0</v>
      </c>
      <c r="N44" s="458" t="s">
        <v>1260</v>
      </c>
      <c r="O44" s="299">
        <f t="shared" si="1"/>
        <v>6965</v>
      </c>
    </row>
    <row r="45" spans="1:15" customFormat="1" ht="12.75" customHeight="1" x14ac:dyDescent="0.25">
      <c r="A45" s="150" t="s">
        <v>1104</v>
      </c>
      <c r="B45" s="307"/>
      <c r="C45" s="295" t="s">
        <v>1105</v>
      </c>
      <c r="D45" s="296"/>
      <c r="E45" s="296"/>
      <c r="F45" s="296"/>
      <c r="G45" s="297"/>
      <c r="H45" s="162">
        <v>1634</v>
      </c>
      <c r="I45" s="162">
        <v>364</v>
      </c>
      <c r="J45" s="299">
        <f t="shared" si="0"/>
        <v>1998</v>
      </c>
      <c r="K45" s="458" t="s">
        <v>1260</v>
      </c>
      <c r="L45" s="162">
        <v>413</v>
      </c>
      <c r="M45" s="162">
        <v>0</v>
      </c>
      <c r="N45" s="458" t="s">
        <v>1260</v>
      </c>
      <c r="O45" s="299">
        <f t="shared" si="1"/>
        <v>2411</v>
      </c>
    </row>
    <row r="46" spans="1:15" customFormat="1" ht="12.75" customHeight="1" x14ac:dyDescent="0.25">
      <c r="A46" s="150" t="s">
        <v>1106</v>
      </c>
      <c r="B46" s="307"/>
      <c r="C46" s="295" t="s">
        <v>1107</v>
      </c>
      <c r="D46" s="296"/>
      <c r="E46" s="296"/>
      <c r="F46" s="296"/>
      <c r="G46" s="297"/>
      <c r="H46" s="162">
        <v>2339</v>
      </c>
      <c r="I46" s="162">
        <v>1195</v>
      </c>
      <c r="J46" s="299">
        <f t="shared" si="0"/>
        <v>3534</v>
      </c>
      <c r="K46" s="458" t="s">
        <v>1260</v>
      </c>
      <c r="L46" s="162">
        <v>922</v>
      </c>
      <c r="M46" s="162">
        <v>44</v>
      </c>
      <c r="N46" s="458" t="s">
        <v>1260</v>
      </c>
      <c r="O46" s="299">
        <f t="shared" si="1"/>
        <v>4500</v>
      </c>
    </row>
    <row r="47" spans="1:15" customFormat="1" ht="12.75" customHeight="1" x14ac:dyDescent="0.25">
      <c r="A47" s="150" t="s">
        <v>1108</v>
      </c>
      <c r="B47" s="307"/>
      <c r="C47" s="295" t="s">
        <v>1109</v>
      </c>
      <c r="D47" s="296"/>
      <c r="E47" s="296"/>
      <c r="F47" s="296"/>
      <c r="G47" s="297"/>
      <c r="H47" s="162">
        <v>2333</v>
      </c>
      <c r="I47" s="162">
        <v>463</v>
      </c>
      <c r="J47" s="299">
        <f t="shared" si="0"/>
        <v>2796</v>
      </c>
      <c r="K47" s="458" t="s">
        <v>1260</v>
      </c>
      <c r="L47" s="162">
        <v>1012</v>
      </c>
      <c r="M47" s="162">
        <v>0</v>
      </c>
      <c r="N47" s="458" t="s">
        <v>1260</v>
      </c>
      <c r="O47" s="299">
        <f t="shared" si="1"/>
        <v>3808</v>
      </c>
    </row>
    <row r="48" spans="1:15" customFormat="1" ht="12.75" customHeight="1" x14ac:dyDescent="0.25">
      <c r="A48" s="150" t="s">
        <v>1110</v>
      </c>
      <c r="B48" s="307"/>
      <c r="C48" s="295" t="s">
        <v>1111</v>
      </c>
      <c r="D48" s="296"/>
      <c r="E48" s="296"/>
      <c r="F48" s="296"/>
      <c r="G48" s="297"/>
      <c r="H48" s="162">
        <v>6825</v>
      </c>
      <c r="I48" s="162">
        <v>4623</v>
      </c>
      <c r="J48" s="299">
        <f t="shared" si="0"/>
        <v>11448</v>
      </c>
      <c r="K48" s="458" t="s">
        <v>1260</v>
      </c>
      <c r="L48" s="162">
        <v>2838</v>
      </c>
      <c r="M48" s="162">
        <v>19</v>
      </c>
      <c r="N48" s="458" t="s">
        <v>1260</v>
      </c>
      <c r="O48" s="299">
        <f t="shared" si="1"/>
        <v>14305</v>
      </c>
    </row>
    <row r="49" spans="1:15" customFormat="1" ht="12.75" customHeight="1" x14ac:dyDescent="0.25">
      <c r="A49" s="150" t="s">
        <v>1112</v>
      </c>
      <c r="B49" s="307"/>
      <c r="C49" s="295" t="s">
        <v>1113</v>
      </c>
      <c r="D49" s="296"/>
      <c r="E49" s="296"/>
      <c r="F49" s="296"/>
      <c r="G49" s="297"/>
      <c r="H49" s="162">
        <v>1342</v>
      </c>
      <c r="I49" s="162">
        <v>90</v>
      </c>
      <c r="J49" s="299">
        <f t="shared" si="0"/>
        <v>1432</v>
      </c>
      <c r="K49" s="458" t="s">
        <v>1260</v>
      </c>
      <c r="L49" s="162">
        <v>951</v>
      </c>
      <c r="M49" s="162">
        <v>0</v>
      </c>
      <c r="N49" s="458" t="s">
        <v>1260</v>
      </c>
      <c r="O49" s="299">
        <f t="shared" si="1"/>
        <v>2383</v>
      </c>
    </row>
    <row r="50" spans="1:15" customFormat="1" ht="12.75" customHeight="1" x14ac:dyDescent="0.25">
      <c r="A50" s="150" t="s">
        <v>1114</v>
      </c>
      <c r="B50" s="307"/>
      <c r="C50" s="295" t="s">
        <v>1115</v>
      </c>
      <c r="D50" s="296"/>
      <c r="E50" s="296"/>
      <c r="F50" s="296"/>
      <c r="G50" s="297"/>
      <c r="H50" s="162">
        <v>0</v>
      </c>
      <c r="I50" s="162">
        <v>0</v>
      </c>
      <c r="J50" s="299">
        <f t="shared" si="0"/>
        <v>0</v>
      </c>
      <c r="K50" s="458" t="s">
        <v>1260</v>
      </c>
      <c r="L50" s="162">
        <v>0</v>
      </c>
      <c r="M50" s="162">
        <v>0</v>
      </c>
      <c r="N50" s="458" t="s">
        <v>1260</v>
      </c>
      <c r="O50" s="299">
        <f t="shared" si="1"/>
        <v>0</v>
      </c>
    </row>
    <row r="51" spans="1:15" customFormat="1" ht="12.75" customHeight="1" x14ac:dyDescent="0.25">
      <c r="A51" s="150" t="s">
        <v>1116</v>
      </c>
      <c r="B51" s="300" t="s">
        <v>1117</v>
      </c>
      <c r="C51" s="301"/>
      <c r="D51" s="301"/>
      <c r="E51" s="301"/>
      <c r="F51" s="301"/>
      <c r="G51" s="302"/>
      <c r="H51" s="275">
        <f>SUM(H6:H50)</f>
        <v>211927</v>
      </c>
      <c r="I51" s="275">
        <f>SUM(I6:I50)</f>
        <v>98325</v>
      </c>
      <c r="J51" s="275">
        <f>SUM(J6:J50)</f>
        <v>310252</v>
      </c>
      <c r="K51" s="459" t="s">
        <v>1260</v>
      </c>
      <c r="L51" s="275">
        <f>SUM(L6:L50)</f>
        <v>100035</v>
      </c>
      <c r="M51" s="275">
        <f>SUM(M6:M50)</f>
        <v>6025</v>
      </c>
      <c r="N51" s="459" t="s">
        <v>1260</v>
      </c>
      <c r="O51" s="275">
        <f t="shared" si="1"/>
        <v>416312</v>
      </c>
    </row>
    <row r="52" spans="1:15" customFormat="1" ht="12.75" customHeight="1" x14ac:dyDescent="0.25">
      <c r="A52" s="150"/>
      <c r="B52" s="181"/>
      <c r="C52" s="296"/>
      <c r="D52" s="296"/>
      <c r="E52" s="296"/>
      <c r="F52" s="296"/>
      <c r="G52" s="303"/>
      <c r="H52" s="274"/>
      <c r="I52" s="274"/>
      <c r="J52" s="274"/>
      <c r="K52" s="458"/>
      <c r="L52" s="274"/>
      <c r="M52" s="274"/>
      <c r="N52" s="458"/>
      <c r="O52" s="274"/>
    </row>
    <row r="53" spans="1:15" customFormat="1" ht="12.75" customHeight="1" x14ac:dyDescent="0.25">
      <c r="A53" s="150">
        <v>2</v>
      </c>
      <c r="B53" s="294" t="s">
        <v>1118</v>
      </c>
      <c r="C53" s="295"/>
      <c r="D53" s="295"/>
      <c r="E53" s="295"/>
      <c r="F53" s="295"/>
      <c r="G53" s="305"/>
      <c r="H53" s="162">
        <v>0</v>
      </c>
      <c r="I53" s="162">
        <v>28922</v>
      </c>
      <c r="J53" s="299">
        <f>SUM(H53:I53)</f>
        <v>28922</v>
      </c>
      <c r="K53" s="458" t="s">
        <v>1260</v>
      </c>
      <c r="L53" s="162">
        <v>14881</v>
      </c>
      <c r="M53" s="162">
        <v>5393</v>
      </c>
      <c r="N53" s="458" t="s">
        <v>1260</v>
      </c>
      <c r="O53" s="299">
        <f>SUM(J53:M53)</f>
        <v>49196</v>
      </c>
    </row>
    <row r="54" spans="1:15" customFormat="1" ht="12.75" customHeight="1" x14ac:dyDescent="0.25">
      <c r="A54" s="150"/>
      <c r="B54" s="181"/>
      <c r="C54" s="296"/>
      <c r="D54" s="296"/>
      <c r="E54" s="296"/>
      <c r="F54" s="296"/>
      <c r="G54" s="303"/>
      <c r="H54" s="274"/>
      <c r="I54" s="274"/>
      <c r="J54" s="274"/>
      <c r="K54" s="458"/>
      <c r="L54" s="274"/>
      <c r="M54" s="274"/>
      <c r="N54" s="458"/>
      <c r="O54" s="274"/>
    </row>
    <row r="55" spans="1:15" customFormat="1" ht="12.75" customHeight="1" x14ac:dyDescent="0.25">
      <c r="A55" s="150">
        <v>3</v>
      </c>
      <c r="B55" s="291" t="s">
        <v>1119</v>
      </c>
      <c r="C55" s="292"/>
      <c r="D55" s="292"/>
      <c r="E55" s="292"/>
      <c r="F55" s="292"/>
      <c r="G55" s="293"/>
      <c r="H55" s="154"/>
      <c r="I55" s="154"/>
      <c r="J55" s="154"/>
      <c r="K55" s="457"/>
      <c r="L55" s="154"/>
      <c r="M55" s="154"/>
      <c r="N55" s="457"/>
      <c r="O55" s="154"/>
    </row>
    <row r="56" spans="1:15" customFormat="1" ht="12.75" customHeight="1" x14ac:dyDescent="0.25">
      <c r="A56" s="150" t="s">
        <v>876</v>
      </c>
      <c r="B56" s="307"/>
      <c r="C56" s="295" t="s">
        <v>1120</v>
      </c>
      <c r="D56" s="296"/>
      <c r="E56" s="296"/>
      <c r="F56" s="296"/>
      <c r="G56" s="297"/>
      <c r="H56" s="162">
        <v>284</v>
      </c>
      <c r="I56" s="162">
        <v>33088</v>
      </c>
      <c r="J56" s="299">
        <f>SUM(H56:I56)</f>
        <v>33372</v>
      </c>
      <c r="K56" s="458" t="s">
        <v>1260</v>
      </c>
      <c r="L56" s="162">
        <v>24905</v>
      </c>
      <c r="M56" s="162">
        <v>1549</v>
      </c>
      <c r="N56" s="458" t="s">
        <v>1260</v>
      </c>
      <c r="O56" s="299">
        <f>SUM(J56:M56)</f>
        <v>59826</v>
      </c>
    </row>
    <row r="57" spans="1:15" customFormat="1" ht="12.75" customHeight="1" x14ac:dyDescent="0.25">
      <c r="A57" s="150" t="s">
        <v>878</v>
      </c>
      <c r="B57" s="460"/>
      <c r="C57" s="301" t="s">
        <v>1261</v>
      </c>
      <c r="D57" s="461"/>
      <c r="E57" s="461"/>
      <c r="F57" s="461"/>
      <c r="G57" s="462"/>
      <c r="H57" s="275">
        <f>H60</f>
        <v>0</v>
      </c>
      <c r="I57" s="275">
        <f>I60</f>
        <v>8479</v>
      </c>
      <c r="J57" s="275">
        <f>SUM(H57:I57)</f>
        <v>8479</v>
      </c>
      <c r="K57" s="459" t="s">
        <v>1260</v>
      </c>
      <c r="L57" s="275">
        <f>SUM(L58:L60)</f>
        <v>19455</v>
      </c>
      <c r="M57" s="275">
        <f>M60</f>
        <v>0</v>
      </c>
      <c r="N57" s="459" t="s">
        <v>1260</v>
      </c>
      <c r="O57" s="275">
        <f>SUM(J57:M57)</f>
        <v>27934</v>
      </c>
    </row>
    <row r="58" spans="1:15" customFormat="1" ht="12.75" customHeight="1" x14ac:dyDescent="0.25">
      <c r="A58" s="150" t="s">
        <v>1137</v>
      </c>
      <c r="B58" s="463"/>
      <c r="C58" s="464"/>
      <c r="D58" s="295" t="s">
        <v>1262</v>
      </c>
      <c r="E58" s="464"/>
      <c r="F58" s="464"/>
      <c r="G58" s="465"/>
      <c r="H58" s="458" t="s">
        <v>1260</v>
      </c>
      <c r="I58" s="458" t="s">
        <v>1260</v>
      </c>
      <c r="J58" s="458" t="s">
        <v>1260</v>
      </c>
      <c r="K58" s="458" t="s">
        <v>1260</v>
      </c>
      <c r="L58" s="162">
        <v>2143</v>
      </c>
      <c r="M58" s="458" t="s">
        <v>1260</v>
      </c>
      <c r="N58" s="458" t="s">
        <v>1260</v>
      </c>
      <c r="O58" s="299">
        <f>L58</f>
        <v>2143</v>
      </c>
    </row>
    <row r="59" spans="1:15" customFormat="1" ht="12.75" customHeight="1" x14ac:dyDescent="0.25">
      <c r="A59" s="150" t="s">
        <v>1139</v>
      </c>
      <c r="B59" s="463"/>
      <c r="C59" s="464"/>
      <c r="D59" s="295" t="s">
        <v>1263</v>
      </c>
      <c r="E59" s="464"/>
      <c r="F59" s="464"/>
      <c r="G59" s="465"/>
      <c r="H59" s="458" t="s">
        <v>1260</v>
      </c>
      <c r="I59" s="458" t="s">
        <v>1260</v>
      </c>
      <c r="J59" s="458" t="s">
        <v>1260</v>
      </c>
      <c r="K59" s="458" t="s">
        <v>1260</v>
      </c>
      <c r="L59" s="162">
        <v>12665</v>
      </c>
      <c r="M59" s="458" t="s">
        <v>1260</v>
      </c>
      <c r="N59" s="458" t="s">
        <v>1260</v>
      </c>
      <c r="O59" s="299">
        <f>L59</f>
        <v>12665</v>
      </c>
    </row>
    <row r="60" spans="1:15" customFormat="1" ht="12.75" customHeight="1" x14ac:dyDescent="0.25">
      <c r="A60" s="150" t="s">
        <v>1141</v>
      </c>
      <c r="B60" s="463"/>
      <c r="C60" s="464"/>
      <c r="D60" s="295" t="s">
        <v>1264</v>
      </c>
      <c r="E60" s="464"/>
      <c r="F60" s="464"/>
      <c r="G60" s="465"/>
      <c r="H60" s="162">
        <v>0</v>
      </c>
      <c r="I60" s="162">
        <v>8479</v>
      </c>
      <c r="J60" s="299">
        <f>SUM(H60:I60)</f>
        <v>8479</v>
      </c>
      <c r="K60" s="458" t="s">
        <v>1260</v>
      </c>
      <c r="L60" s="162">
        <v>4647</v>
      </c>
      <c r="M60" s="162">
        <v>0</v>
      </c>
      <c r="N60" s="458" t="s">
        <v>1260</v>
      </c>
      <c r="O60" s="299">
        <f>SUM(J60:M60)</f>
        <v>13126</v>
      </c>
    </row>
    <row r="61" spans="1:15" customFormat="1" ht="12.75" customHeight="1" x14ac:dyDescent="0.25">
      <c r="A61" s="150" t="s">
        <v>880</v>
      </c>
      <c r="B61" s="307"/>
      <c r="C61" s="295" t="s">
        <v>1122</v>
      </c>
      <c r="D61" s="296"/>
      <c r="E61" s="296"/>
      <c r="F61" s="296"/>
      <c r="G61" s="297"/>
      <c r="H61" s="162">
        <v>48</v>
      </c>
      <c r="I61" s="162">
        <v>10285</v>
      </c>
      <c r="J61" s="299">
        <f>SUM(H61:I61)</f>
        <v>10333</v>
      </c>
      <c r="K61" s="458" t="s">
        <v>1260</v>
      </c>
      <c r="L61" s="162">
        <v>19259</v>
      </c>
      <c r="M61" s="162">
        <v>80</v>
      </c>
      <c r="N61" s="458" t="s">
        <v>1260</v>
      </c>
      <c r="O61" s="299">
        <f>SUM(J61:M61)</f>
        <v>29672</v>
      </c>
    </row>
    <row r="62" spans="1:15" customFormat="1" ht="12.75" customHeight="1" x14ac:dyDescent="0.25">
      <c r="A62" s="150" t="s">
        <v>882</v>
      </c>
      <c r="B62" s="300" t="s">
        <v>1123</v>
      </c>
      <c r="C62" s="301"/>
      <c r="D62" s="301"/>
      <c r="E62" s="301"/>
      <c r="F62" s="301"/>
      <c r="G62" s="302"/>
      <c r="H62" s="275">
        <f>H56+H57+H61</f>
        <v>332</v>
      </c>
      <c r="I62" s="275">
        <f>I56+I57+I61</f>
        <v>51852</v>
      </c>
      <c r="J62" s="275">
        <f>J56+J57+J61</f>
        <v>52184</v>
      </c>
      <c r="K62" s="459" t="s">
        <v>1260</v>
      </c>
      <c r="L62" s="275">
        <f>L56+L57+L61</f>
        <v>63619</v>
      </c>
      <c r="M62" s="275">
        <f>M56+M57+M61</f>
        <v>1629</v>
      </c>
      <c r="N62" s="459" t="s">
        <v>1260</v>
      </c>
      <c r="O62" s="275">
        <f>SUM(J62:M62)</f>
        <v>117432</v>
      </c>
    </row>
    <row r="63" spans="1:15" customFormat="1" ht="12.75" customHeight="1" x14ac:dyDescent="0.25">
      <c r="A63" s="150"/>
      <c r="B63" s="308"/>
      <c r="C63" s="309"/>
      <c r="D63" s="309"/>
      <c r="E63" s="309"/>
      <c r="F63" s="309"/>
      <c r="G63" s="310"/>
      <c r="H63" s="274"/>
      <c r="I63" s="274"/>
      <c r="J63" s="274"/>
      <c r="K63" s="466"/>
      <c r="L63" s="274"/>
      <c r="M63" s="274"/>
      <c r="N63" s="466"/>
      <c r="O63" s="274"/>
    </row>
    <row r="64" spans="1:15" customFormat="1" ht="12.75" customHeight="1" x14ac:dyDescent="0.25">
      <c r="A64" s="150">
        <v>4</v>
      </c>
      <c r="B64" s="291" t="s">
        <v>1265</v>
      </c>
      <c r="C64" s="292"/>
      <c r="D64" s="292"/>
      <c r="E64" s="292"/>
      <c r="F64" s="292"/>
      <c r="G64" s="293"/>
      <c r="H64" s="154"/>
      <c r="I64" s="154"/>
      <c r="J64" s="154"/>
      <c r="K64" s="457"/>
      <c r="L64" s="154"/>
      <c r="M64" s="154"/>
      <c r="N64" s="457"/>
      <c r="O64" s="154"/>
    </row>
    <row r="65" spans="1:15" customFormat="1" ht="12.75" customHeight="1" x14ac:dyDescent="0.25">
      <c r="A65" s="150" t="s">
        <v>1166</v>
      </c>
      <c r="B65" s="307"/>
      <c r="C65" s="295" t="s">
        <v>1266</v>
      </c>
      <c r="D65" s="296"/>
      <c r="E65" s="296"/>
      <c r="F65" s="296"/>
      <c r="G65" s="297"/>
      <c r="H65" s="458" t="s">
        <v>1260</v>
      </c>
      <c r="I65" s="162">
        <v>2031</v>
      </c>
      <c r="J65" s="299">
        <f>I65</f>
        <v>2031</v>
      </c>
      <c r="K65" s="458" t="s">
        <v>1260</v>
      </c>
      <c r="L65" s="162">
        <v>7973</v>
      </c>
      <c r="M65" s="458" t="s">
        <v>1260</v>
      </c>
      <c r="N65" s="162">
        <v>0</v>
      </c>
      <c r="O65" s="299">
        <f>SUM(J65:N65)</f>
        <v>10004</v>
      </c>
    </row>
    <row r="66" spans="1:15" customFormat="1" ht="12.75" customHeight="1" x14ac:dyDescent="0.25">
      <c r="A66" s="150" t="s">
        <v>1168</v>
      </c>
      <c r="B66" s="307"/>
      <c r="C66" s="295" t="s">
        <v>1267</v>
      </c>
      <c r="D66" s="296"/>
      <c r="E66" s="296"/>
      <c r="F66" s="296"/>
      <c r="G66" s="297"/>
      <c r="H66" s="458" t="s">
        <v>1260</v>
      </c>
      <c r="I66" s="162">
        <v>22324</v>
      </c>
      <c r="J66" s="299">
        <f>I66</f>
        <v>22324</v>
      </c>
      <c r="K66" s="265" t="s">
        <v>1260</v>
      </c>
      <c r="L66" s="162">
        <v>33117</v>
      </c>
      <c r="M66" s="162">
        <v>37613</v>
      </c>
      <c r="N66" s="162">
        <v>0</v>
      </c>
      <c r="O66" s="299">
        <f>SUM(J66:N66)</f>
        <v>93054</v>
      </c>
    </row>
    <row r="67" spans="1:15" customFormat="1" ht="12.75" customHeight="1" x14ac:dyDescent="0.25">
      <c r="A67" s="150" t="s">
        <v>1170</v>
      </c>
      <c r="B67" s="300" t="s">
        <v>1268</v>
      </c>
      <c r="C67" s="301"/>
      <c r="D67" s="301"/>
      <c r="E67" s="301"/>
      <c r="F67" s="301"/>
      <c r="G67" s="302"/>
      <c r="H67" s="459" t="s">
        <v>1260</v>
      </c>
      <c r="I67" s="172">
        <f>SUM(I65:I66)</f>
        <v>24355</v>
      </c>
      <c r="J67" s="172">
        <f>SUM(J65:J66)</f>
        <v>24355</v>
      </c>
      <c r="K67" s="172" t="s">
        <v>1260</v>
      </c>
      <c r="L67" s="172">
        <f>SUM(L65:L66)</f>
        <v>41090</v>
      </c>
      <c r="M67" s="172">
        <f>SUM(M66)</f>
        <v>37613</v>
      </c>
      <c r="N67" s="172">
        <f>SUM(N65:N66)</f>
        <v>0</v>
      </c>
      <c r="O67" s="172">
        <f>SUM(J67:N67)</f>
        <v>103058</v>
      </c>
    </row>
    <row r="68" spans="1:15" customFormat="1" ht="12.75" customHeight="1" x14ac:dyDescent="0.25">
      <c r="A68" s="150"/>
      <c r="B68" s="308"/>
      <c r="C68" s="309"/>
      <c r="D68" s="309"/>
      <c r="E68" s="309"/>
      <c r="F68" s="309"/>
      <c r="G68" s="310"/>
      <c r="H68" s="274"/>
      <c r="I68" s="274"/>
      <c r="J68" s="274"/>
      <c r="K68" s="466"/>
      <c r="L68" s="274"/>
      <c r="M68" s="274"/>
      <c r="N68" s="466"/>
      <c r="O68" s="274"/>
    </row>
    <row r="69" spans="1:15" customFormat="1" ht="12.75" customHeight="1" x14ac:dyDescent="0.25">
      <c r="A69" s="150">
        <v>5</v>
      </c>
      <c r="B69" s="291" t="s">
        <v>1269</v>
      </c>
      <c r="C69" s="292"/>
      <c r="D69" s="292"/>
      <c r="E69" s="292"/>
      <c r="F69" s="292"/>
      <c r="G69" s="293"/>
      <c r="H69" s="178"/>
      <c r="I69" s="178"/>
      <c r="J69" s="154"/>
      <c r="K69" s="457"/>
      <c r="L69" s="154"/>
      <c r="M69" s="154"/>
      <c r="N69" s="457"/>
      <c r="O69" s="154"/>
    </row>
    <row r="70" spans="1:15" customFormat="1" ht="12.75" customHeight="1" x14ac:dyDescent="0.25">
      <c r="A70" s="150" t="s">
        <v>962</v>
      </c>
      <c r="B70" s="463"/>
      <c r="C70" s="295" t="s">
        <v>1204</v>
      </c>
      <c r="D70" s="464"/>
      <c r="E70" s="464"/>
      <c r="F70" s="464"/>
      <c r="G70" s="465"/>
      <c r="H70" s="458" t="s">
        <v>1260</v>
      </c>
      <c r="I70" s="162">
        <v>10797</v>
      </c>
      <c r="J70" s="299">
        <f>I70</f>
        <v>10797</v>
      </c>
      <c r="K70" s="265" t="s">
        <v>1260</v>
      </c>
      <c r="L70" s="162">
        <v>40726</v>
      </c>
      <c r="M70" s="162">
        <v>0</v>
      </c>
      <c r="N70" s="162">
        <v>0</v>
      </c>
      <c r="O70" s="299">
        <f>SUM(J70:N70)</f>
        <v>51523</v>
      </c>
    </row>
    <row r="71" spans="1:15" customFormat="1" ht="12.75" customHeight="1" x14ac:dyDescent="0.25">
      <c r="A71" s="150" t="s">
        <v>964</v>
      </c>
      <c r="B71" s="463"/>
      <c r="C71" s="295" t="s">
        <v>1270</v>
      </c>
      <c r="D71" s="464"/>
      <c r="E71" s="464"/>
      <c r="F71" s="464"/>
      <c r="G71" s="465"/>
      <c r="H71" s="458" t="s">
        <v>1260</v>
      </c>
      <c r="I71" s="162">
        <v>4887</v>
      </c>
      <c r="J71" s="299">
        <f>I71</f>
        <v>4887</v>
      </c>
      <c r="K71" s="265" t="s">
        <v>1260</v>
      </c>
      <c r="L71" s="162">
        <v>5602</v>
      </c>
      <c r="M71" s="162">
        <v>0</v>
      </c>
      <c r="N71" s="162">
        <v>0</v>
      </c>
      <c r="O71" s="299">
        <f>SUM(J71:N71)</f>
        <v>10489</v>
      </c>
    </row>
    <row r="72" spans="1:15" customFormat="1" ht="12.75" customHeight="1" x14ac:dyDescent="0.25">
      <c r="A72" s="150" t="s">
        <v>966</v>
      </c>
      <c r="B72" s="300" t="s">
        <v>1271</v>
      </c>
      <c r="C72" s="301"/>
      <c r="D72" s="301"/>
      <c r="E72" s="301"/>
      <c r="F72" s="301"/>
      <c r="G72" s="302"/>
      <c r="H72" s="459" t="s">
        <v>1260</v>
      </c>
      <c r="I72" s="172">
        <f>SUM(I70:I71)</f>
        <v>15684</v>
      </c>
      <c r="J72" s="275">
        <f>SUM(J70:J71)</f>
        <v>15684</v>
      </c>
      <c r="K72" s="172" t="s">
        <v>1260</v>
      </c>
      <c r="L72" s="275">
        <f>SUM(L70:L71)</f>
        <v>46328</v>
      </c>
      <c r="M72" s="275">
        <f>SUM(M70:M71)</f>
        <v>0</v>
      </c>
      <c r="N72" s="172">
        <f>SUM(N70:N71)</f>
        <v>0</v>
      </c>
      <c r="O72" s="275">
        <f>SUM(J72:N72)</f>
        <v>62012</v>
      </c>
    </row>
    <row r="73" spans="1:15" customFormat="1" ht="12.75" customHeight="1" x14ac:dyDescent="0.25">
      <c r="A73" s="150"/>
      <c r="B73" s="308"/>
      <c r="C73" s="309"/>
      <c r="D73" s="309"/>
      <c r="E73" s="309"/>
      <c r="F73" s="309"/>
      <c r="G73" s="310"/>
      <c r="H73" s="274"/>
      <c r="I73" s="274"/>
      <c r="J73" s="274"/>
      <c r="K73" s="466"/>
      <c r="L73" s="274"/>
      <c r="M73" s="274"/>
      <c r="N73" s="466"/>
      <c r="O73" s="274"/>
    </row>
    <row r="74" spans="1:15" customFormat="1" ht="12.75" customHeight="1" x14ac:dyDescent="0.25">
      <c r="A74" s="150">
        <v>6</v>
      </c>
      <c r="B74" s="291" t="s">
        <v>794</v>
      </c>
      <c r="C74" s="292"/>
      <c r="D74" s="292"/>
      <c r="E74" s="292"/>
      <c r="F74" s="292"/>
      <c r="G74" s="293"/>
      <c r="H74" s="178"/>
      <c r="I74" s="178"/>
      <c r="J74" s="154"/>
      <c r="K74" s="457"/>
      <c r="L74" s="154"/>
      <c r="M74" s="154"/>
      <c r="N74" s="457"/>
      <c r="O74" s="154"/>
    </row>
    <row r="75" spans="1:15" customFormat="1" ht="12.75" customHeight="1" x14ac:dyDescent="0.25">
      <c r="A75" s="150" t="s">
        <v>989</v>
      </c>
      <c r="B75" s="216"/>
      <c r="C75" s="467" t="s">
        <v>1178</v>
      </c>
      <c r="D75" s="468"/>
      <c r="E75" s="468"/>
      <c r="F75" s="468"/>
      <c r="G75" s="468"/>
      <c r="H75" s="274"/>
      <c r="I75" s="163"/>
      <c r="J75" s="163"/>
      <c r="K75" s="458"/>
      <c r="L75" s="163"/>
      <c r="M75" s="163"/>
      <c r="N75" s="458"/>
      <c r="O75" s="299"/>
    </row>
    <row r="76" spans="1:15" customFormat="1" ht="12.75" customHeight="1" x14ac:dyDescent="0.25">
      <c r="A76" s="150" t="s">
        <v>1137</v>
      </c>
      <c r="B76" s="469"/>
      <c r="C76" s="470"/>
      <c r="D76" s="217" t="s">
        <v>1179</v>
      </c>
      <c r="E76" s="470"/>
      <c r="F76" s="470"/>
      <c r="G76" s="471"/>
      <c r="H76" s="162">
        <v>7459</v>
      </c>
      <c r="I76" s="162">
        <v>1556</v>
      </c>
      <c r="J76" s="299">
        <f t="shared" ref="J76:J84" si="2">SUM(H76:I76)</f>
        <v>9015</v>
      </c>
      <c r="K76" s="458" t="s">
        <v>1260</v>
      </c>
      <c r="L76" s="162">
        <v>5649</v>
      </c>
      <c r="M76" s="162">
        <v>2082</v>
      </c>
      <c r="N76" s="458" t="s">
        <v>1260</v>
      </c>
      <c r="O76" s="299">
        <f t="shared" ref="O76:O84" si="3">SUM(J76:M76)</f>
        <v>16746</v>
      </c>
    </row>
    <row r="77" spans="1:15" customFormat="1" ht="12.75" customHeight="1" x14ac:dyDescent="0.25">
      <c r="A77" s="150" t="s">
        <v>1139</v>
      </c>
      <c r="B77" s="469"/>
      <c r="C77" s="470"/>
      <c r="D77" s="217" t="s">
        <v>1180</v>
      </c>
      <c r="E77" s="470"/>
      <c r="F77" s="470"/>
      <c r="G77" s="471"/>
      <c r="H77" s="162">
        <v>10914</v>
      </c>
      <c r="I77" s="162">
        <v>2995</v>
      </c>
      <c r="J77" s="299">
        <f t="shared" si="2"/>
        <v>13909</v>
      </c>
      <c r="K77" s="458" t="s">
        <v>1260</v>
      </c>
      <c r="L77" s="162">
        <v>14849</v>
      </c>
      <c r="M77" s="162">
        <v>1715</v>
      </c>
      <c r="N77" s="458" t="s">
        <v>1260</v>
      </c>
      <c r="O77" s="299">
        <f t="shared" si="3"/>
        <v>30473</v>
      </c>
    </row>
    <row r="78" spans="1:15" customFormat="1" ht="12.75" customHeight="1" x14ac:dyDescent="0.25">
      <c r="A78" s="150" t="s">
        <v>1141</v>
      </c>
      <c r="B78" s="469"/>
      <c r="C78" s="470"/>
      <c r="D78" s="217" t="s">
        <v>1181</v>
      </c>
      <c r="E78" s="470"/>
      <c r="F78" s="470"/>
      <c r="G78" s="471"/>
      <c r="H78" s="162">
        <v>1915</v>
      </c>
      <c r="I78" s="162">
        <v>1051</v>
      </c>
      <c r="J78" s="299">
        <f t="shared" si="2"/>
        <v>2966</v>
      </c>
      <c r="K78" s="458" t="s">
        <v>1260</v>
      </c>
      <c r="L78" s="162">
        <v>1764</v>
      </c>
      <c r="M78" s="162">
        <v>826</v>
      </c>
      <c r="N78" s="458" t="s">
        <v>1260</v>
      </c>
      <c r="O78" s="299">
        <f t="shared" si="3"/>
        <v>5556</v>
      </c>
    </row>
    <row r="79" spans="1:15" customFormat="1" ht="12.75" customHeight="1" x14ac:dyDescent="0.25">
      <c r="A79" s="150" t="s">
        <v>1143</v>
      </c>
      <c r="B79" s="469"/>
      <c r="C79" s="470"/>
      <c r="D79" s="217" t="s">
        <v>1182</v>
      </c>
      <c r="E79" s="470"/>
      <c r="F79" s="470"/>
      <c r="G79" s="471"/>
      <c r="H79" s="162">
        <v>7040</v>
      </c>
      <c r="I79" s="162">
        <v>834</v>
      </c>
      <c r="J79" s="299">
        <f t="shared" si="2"/>
        <v>7874</v>
      </c>
      <c r="K79" s="458" t="s">
        <v>1260</v>
      </c>
      <c r="L79" s="162">
        <v>11797</v>
      </c>
      <c r="M79" s="162">
        <v>3160</v>
      </c>
      <c r="N79" s="458" t="s">
        <v>1260</v>
      </c>
      <c r="O79" s="299">
        <f t="shared" si="3"/>
        <v>22831</v>
      </c>
    </row>
    <row r="80" spans="1:15" customFormat="1" ht="12.75" customHeight="1" x14ac:dyDescent="0.25">
      <c r="A80" s="150" t="s">
        <v>1145</v>
      </c>
      <c r="B80" s="469"/>
      <c r="C80" s="470"/>
      <c r="D80" s="217" t="s">
        <v>1183</v>
      </c>
      <c r="E80" s="470"/>
      <c r="F80" s="470"/>
      <c r="G80" s="471"/>
      <c r="H80" s="162">
        <v>1474</v>
      </c>
      <c r="I80" s="162">
        <v>544</v>
      </c>
      <c r="J80" s="299">
        <f t="shared" si="2"/>
        <v>2018</v>
      </c>
      <c r="K80" s="458" t="s">
        <v>1260</v>
      </c>
      <c r="L80" s="162">
        <v>4183</v>
      </c>
      <c r="M80" s="162">
        <v>0</v>
      </c>
      <c r="N80" s="458" t="s">
        <v>1260</v>
      </c>
      <c r="O80" s="299">
        <f t="shared" si="3"/>
        <v>6201</v>
      </c>
    </row>
    <row r="81" spans="1:15" customFormat="1" ht="12.75" customHeight="1" x14ac:dyDescent="0.25">
      <c r="A81" s="150" t="s">
        <v>1147</v>
      </c>
      <c r="B81" s="469"/>
      <c r="C81" s="470"/>
      <c r="D81" s="217" t="s">
        <v>1184</v>
      </c>
      <c r="E81" s="470"/>
      <c r="F81" s="470"/>
      <c r="G81" s="471"/>
      <c r="H81" s="162">
        <v>398</v>
      </c>
      <c r="I81" s="162">
        <v>180</v>
      </c>
      <c r="J81" s="299">
        <f t="shared" si="2"/>
        <v>578</v>
      </c>
      <c r="K81" s="458" t="s">
        <v>1260</v>
      </c>
      <c r="L81" s="162">
        <v>705</v>
      </c>
      <c r="M81" s="162">
        <v>0</v>
      </c>
      <c r="N81" s="458" t="s">
        <v>1260</v>
      </c>
      <c r="O81" s="299">
        <f t="shared" si="3"/>
        <v>1283</v>
      </c>
    </row>
    <row r="82" spans="1:15" customFormat="1" ht="12.75" customHeight="1" x14ac:dyDescent="0.25">
      <c r="A82" s="150" t="s">
        <v>1149</v>
      </c>
      <c r="B82" s="469"/>
      <c r="C82" s="470"/>
      <c r="D82" s="217" t="s">
        <v>1185</v>
      </c>
      <c r="E82" s="470"/>
      <c r="F82" s="470"/>
      <c r="G82" s="471"/>
      <c r="H82" s="162">
        <v>2735</v>
      </c>
      <c r="I82" s="162">
        <v>164</v>
      </c>
      <c r="J82" s="299">
        <f t="shared" si="2"/>
        <v>2899</v>
      </c>
      <c r="K82" s="458" t="s">
        <v>1260</v>
      </c>
      <c r="L82" s="162">
        <v>2420</v>
      </c>
      <c r="M82" s="162">
        <v>1983</v>
      </c>
      <c r="N82" s="458" t="s">
        <v>1260</v>
      </c>
      <c r="O82" s="299">
        <f t="shared" si="3"/>
        <v>7302</v>
      </c>
    </row>
    <row r="83" spans="1:15" customFormat="1" ht="12.75" customHeight="1" x14ac:dyDescent="0.25">
      <c r="A83" s="150" t="s">
        <v>1151</v>
      </c>
      <c r="B83" s="469"/>
      <c r="C83" s="470"/>
      <c r="D83" s="217" t="s">
        <v>1020</v>
      </c>
      <c r="E83" s="470"/>
      <c r="F83" s="470"/>
      <c r="G83" s="471"/>
      <c r="H83" s="162">
        <v>44</v>
      </c>
      <c r="I83" s="162">
        <v>0</v>
      </c>
      <c r="J83" s="299">
        <f t="shared" si="2"/>
        <v>44</v>
      </c>
      <c r="K83" s="458" t="s">
        <v>1260</v>
      </c>
      <c r="L83" s="162">
        <v>0</v>
      </c>
      <c r="M83" s="162">
        <v>68</v>
      </c>
      <c r="N83" s="458" t="s">
        <v>1260</v>
      </c>
      <c r="O83" s="299">
        <f t="shared" si="3"/>
        <v>112</v>
      </c>
    </row>
    <row r="84" spans="1:15" customFormat="1" ht="12.75" customHeight="1" x14ac:dyDescent="0.25">
      <c r="A84" s="150" t="s">
        <v>1188</v>
      </c>
      <c r="B84" s="469"/>
      <c r="C84" s="470"/>
      <c r="D84" s="217" t="s">
        <v>163</v>
      </c>
      <c r="E84" s="470"/>
      <c r="F84" s="470"/>
      <c r="G84" s="471"/>
      <c r="H84" s="162">
        <v>705</v>
      </c>
      <c r="I84" s="162">
        <v>1</v>
      </c>
      <c r="J84" s="299">
        <f t="shared" si="2"/>
        <v>706</v>
      </c>
      <c r="K84" s="458" t="s">
        <v>1260</v>
      </c>
      <c r="L84" s="162">
        <v>336</v>
      </c>
      <c r="M84" s="162">
        <v>0</v>
      </c>
      <c r="N84" s="458" t="s">
        <v>1260</v>
      </c>
      <c r="O84" s="299">
        <f t="shared" si="3"/>
        <v>1042</v>
      </c>
    </row>
    <row r="85" spans="1:15" customFormat="1" ht="12.75" customHeight="1" x14ac:dyDescent="0.25">
      <c r="A85" s="150" t="s">
        <v>1272</v>
      </c>
      <c r="B85" s="472"/>
      <c r="C85" s="473" t="s">
        <v>1273</v>
      </c>
      <c r="D85" s="301"/>
      <c r="E85" s="301"/>
      <c r="F85" s="301"/>
      <c r="G85" s="302"/>
      <c r="H85" s="172">
        <f>SUM(H76:H84)</f>
        <v>32684</v>
      </c>
      <c r="I85" s="172">
        <f>SUM(I76:I84)</f>
        <v>7325</v>
      </c>
      <c r="J85" s="172">
        <f>SUM(J76:J84)</f>
        <v>40009</v>
      </c>
      <c r="K85" s="172" t="s">
        <v>1260</v>
      </c>
      <c r="L85" s="172">
        <f>SUM(L76:L84)</f>
        <v>41703</v>
      </c>
      <c r="M85" s="172">
        <f>SUM(M76:M84)</f>
        <v>9834</v>
      </c>
      <c r="N85" s="172" t="s">
        <v>1260</v>
      </c>
      <c r="O85" s="172">
        <f>SUM(O76:O84)</f>
        <v>91546</v>
      </c>
    </row>
    <row r="86" spans="1:15" customFormat="1" ht="12.75" customHeight="1" x14ac:dyDescent="0.25">
      <c r="A86" s="150" t="s">
        <v>991</v>
      </c>
      <c r="B86" s="216"/>
      <c r="C86" s="217" t="s">
        <v>1022</v>
      </c>
      <c r="D86" s="218"/>
      <c r="E86" s="218"/>
      <c r="F86" s="218"/>
      <c r="G86" s="219"/>
      <c r="H86" s="162">
        <v>29860</v>
      </c>
      <c r="I86" s="162">
        <v>5666</v>
      </c>
      <c r="J86" s="299">
        <f t="shared" ref="J86:J97" si="4">SUM(H86:I86)</f>
        <v>35526</v>
      </c>
      <c r="K86" s="458" t="s">
        <v>1260</v>
      </c>
      <c r="L86" s="162">
        <v>26553</v>
      </c>
      <c r="M86" s="162">
        <v>2131</v>
      </c>
      <c r="N86" s="458" t="s">
        <v>1260</v>
      </c>
      <c r="O86" s="299">
        <f t="shared" ref="O86:O97" si="5">SUM(J86:M86)</f>
        <v>64210</v>
      </c>
    </row>
    <row r="87" spans="1:15" customFormat="1" ht="12.75" customHeight="1" x14ac:dyDescent="0.25">
      <c r="A87" s="150" t="s">
        <v>993</v>
      </c>
      <c r="B87" s="216"/>
      <c r="C87" s="217" t="s">
        <v>1023</v>
      </c>
      <c r="D87" s="218"/>
      <c r="E87" s="218"/>
      <c r="F87" s="218"/>
      <c r="G87" s="219"/>
      <c r="H87" s="162">
        <v>180</v>
      </c>
      <c r="I87" s="162">
        <v>26</v>
      </c>
      <c r="J87" s="299">
        <f t="shared" si="4"/>
        <v>206</v>
      </c>
      <c r="K87" s="458" t="s">
        <v>1260</v>
      </c>
      <c r="L87" s="162">
        <v>247</v>
      </c>
      <c r="M87" s="162">
        <v>0</v>
      </c>
      <c r="N87" s="458" t="s">
        <v>1260</v>
      </c>
      <c r="O87" s="299">
        <f t="shared" si="5"/>
        <v>453</v>
      </c>
    </row>
    <row r="88" spans="1:15" customFormat="1" ht="12.4" customHeight="1" x14ac:dyDescent="0.25">
      <c r="A88" s="150" t="s">
        <v>995</v>
      </c>
      <c r="B88" s="216"/>
      <c r="C88" s="217" t="s">
        <v>1024</v>
      </c>
      <c r="D88" s="218"/>
      <c r="E88" s="218"/>
      <c r="F88" s="218"/>
      <c r="G88" s="219"/>
      <c r="H88" s="162">
        <v>6009</v>
      </c>
      <c r="I88" s="162">
        <v>4154</v>
      </c>
      <c r="J88" s="299">
        <f t="shared" si="4"/>
        <v>10163</v>
      </c>
      <c r="K88" s="458" t="s">
        <v>1260</v>
      </c>
      <c r="L88" s="162">
        <v>12016</v>
      </c>
      <c r="M88" s="162">
        <v>438</v>
      </c>
      <c r="N88" s="458" t="s">
        <v>1260</v>
      </c>
      <c r="O88" s="299">
        <f t="shared" si="5"/>
        <v>22617</v>
      </c>
    </row>
    <row r="89" spans="1:15" customFormat="1" ht="12.4" customHeight="1" x14ac:dyDescent="0.25">
      <c r="A89" s="150" t="s">
        <v>997</v>
      </c>
      <c r="B89" s="216"/>
      <c r="C89" s="217" t="s">
        <v>1026</v>
      </c>
      <c r="D89" s="218"/>
      <c r="E89" s="218"/>
      <c r="F89" s="218"/>
      <c r="G89" s="219"/>
      <c r="H89" s="162">
        <v>1543</v>
      </c>
      <c r="I89" s="162">
        <v>1009</v>
      </c>
      <c r="J89" s="299">
        <f t="shared" si="4"/>
        <v>2552</v>
      </c>
      <c r="K89" s="458" t="s">
        <v>1260</v>
      </c>
      <c r="L89" s="162">
        <v>4106</v>
      </c>
      <c r="M89" s="162">
        <v>80</v>
      </c>
      <c r="N89" s="458" t="s">
        <v>1260</v>
      </c>
      <c r="O89" s="299">
        <f t="shared" si="5"/>
        <v>6738</v>
      </c>
    </row>
    <row r="90" spans="1:15" customFormat="1" ht="12.4" customHeight="1" x14ac:dyDescent="0.25">
      <c r="A90" s="150" t="s">
        <v>999</v>
      </c>
      <c r="B90" s="216"/>
      <c r="C90" s="129" t="s">
        <v>1027</v>
      </c>
      <c r="D90" s="218"/>
      <c r="E90" s="218"/>
      <c r="F90" s="218"/>
      <c r="G90" s="219"/>
      <c r="H90" s="162">
        <v>2136</v>
      </c>
      <c r="I90" s="162">
        <v>426</v>
      </c>
      <c r="J90" s="299">
        <f t="shared" si="4"/>
        <v>2562</v>
      </c>
      <c r="K90" s="458" t="s">
        <v>1260</v>
      </c>
      <c r="L90" s="162">
        <v>1579</v>
      </c>
      <c r="M90" s="162">
        <v>172</v>
      </c>
      <c r="N90" s="458" t="s">
        <v>1260</v>
      </c>
      <c r="O90" s="299">
        <f t="shared" si="5"/>
        <v>4313</v>
      </c>
    </row>
    <row r="91" spans="1:15" customFormat="1" ht="12.4" customHeight="1" x14ac:dyDescent="0.25">
      <c r="A91" s="150" t="s">
        <v>1001</v>
      </c>
      <c r="B91" s="216"/>
      <c r="C91" s="217" t="s">
        <v>1028</v>
      </c>
      <c r="D91" s="218"/>
      <c r="E91" s="218"/>
      <c r="F91" s="218"/>
      <c r="G91" s="219"/>
      <c r="H91" s="162">
        <v>18308</v>
      </c>
      <c r="I91" s="162">
        <v>1866</v>
      </c>
      <c r="J91" s="299">
        <f t="shared" si="4"/>
        <v>20174</v>
      </c>
      <c r="K91" s="458" t="s">
        <v>1260</v>
      </c>
      <c r="L91" s="162">
        <v>10238</v>
      </c>
      <c r="M91" s="162">
        <v>440</v>
      </c>
      <c r="N91" s="458" t="s">
        <v>1260</v>
      </c>
      <c r="O91" s="299">
        <f t="shared" si="5"/>
        <v>30852</v>
      </c>
    </row>
    <row r="92" spans="1:15" customFormat="1" ht="12.4" customHeight="1" x14ac:dyDescent="0.25">
      <c r="A92" s="150" t="s">
        <v>1004</v>
      </c>
      <c r="B92" s="216"/>
      <c r="C92" s="217" t="s">
        <v>1029</v>
      </c>
      <c r="D92" s="218"/>
      <c r="E92" s="218"/>
      <c r="F92" s="218"/>
      <c r="G92" s="219"/>
      <c r="H92" s="162">
        <v>121</v>
      </c>
      <c r="I92" s="162">
        <v>10</v>
      </c>
      <c r="J92" s="299">
        <f t="shared" si="4"/>
        <v>131</v>
      </c>
      <c r="K92" s="458" t="s">
        <v>1260</v>
      </c>
      <c r="L92" s="162">
        <v>66</v>
      </c>
      <c r="M92" s="162">
        <v>0</v>
      </c>
      <c r="N92" s="458" t="s">
        <v>1260</v>
      </c>
      <c r="O92" s="299">
        <f t="shared" si="5"/>
        <v>197</v>
      </c>
    </row>
    <row r="93" spans="1:15" customFormat="1" ht="12.4" customHeight="1" x14ac:dyDescent="0.25">
      <c r="A93" s="150" t="s">
        <v>1005</v>
      </c>
      <c r="B93" s="216"/>
      <c r="C93" s="217" t="s">
        <v>1030</v>
      </c>
      <c r="D93" s="218"/>
      <c r="E93" s="218"/>
      <c r="F93" s="218"/>
      <c r="G93" s="219"/>
      <c r="H93" s="162">
        <v>625</v>
      </c>
      <c r="I93" s="162">
        <v>53</v>
      </c>
      <c r="J93" s="299">
        <f t="shared" si="4"/>
        <v>678</v>
      </c>
      <c r="K93" s="458" t="s">
        <v>1260</v>
      </c>
      <c r="L93" s="162">
        <v>950</v>
      </c>
      <c r="M93" s="162">
        <v>0</v>
      </c>
      <c r="N93" s="458" t="s">
        <v>1260</v>
      </c>
      <c r="O93" s="299">
        <f t="shared" si="5"/>
        <v>1628</v>
      </c>
    </row>
    <row r="94" spans="1:15" customFormat="1" ht="12.4" customHeight="1" x14ac:dyDescent="0.25">
      <c r="A94" s="150" t="s">
        <v>1274</v>
      </c>
      <c r="B94" s="216"/>
      <c r="C94" s="217" t="s">
        <v>1031</v>
      </c>
      <c r="D94" s="218"/>
      <c r="E94" s="218"/>
      <c r="F94" s="218"/>
      <c r="G94" s="219"/>
      <c r="H94" s="162">
        <v>276</v>
      </c>
      <c r="I94" s="162">
        <v>55</v>
      </c>
      <c r="J94" s="299">
        <f t="shared" si="4"/>
        <v>331</v>
      </c>
      <c r="K94" s="458" t="s">
        <v>1260</v>
      </c>
      <c r="L94" s="162">
        <v>591</v>
      </c>
      <c r="M94" s="162">
        <v>0</v>
      </c>
      <c r="N94" s="458" t="s">
        <v>1260</v>
      </c>
      <c r="O94" s="299">
        <f t="shared" si="5"/>
        <v>922</v>
      </c>
    </row>
    <row r="95" spans="1:15" customFormat="1" ht="12.4" customHeight="1" x14ac:dyDescent="0.25">
      <c r="A95" s="150" t="s">
        <v>1275</v>
      </c>
      <c r="B95" s="216"/>
      <c r="C95" s="217" t="s">
        <v>1032</v>
      </c>
      <c r="D95" s="218"/>
      <c r="E95" s="218"/>
      <c r="F95" s="218"/>
      <c r="G95" s="219"/>
      <c r="H95" s="162">
        <v>1670</v>
      </c>
      <c r="I95" s="162">
        <v>385</v>
      </c>
      <c r="J95" s="299">
        <f t="shared" si="4"/>
        <v>2055</v>
      </c>
      <c r="K95" s="458" t="s">
        <v>1260</v>
      </c>
      <c r="L95" s="162">
        <v>3725</v>
      </c>
      <c r="M95" s="162">
        <v>0</v>
      </c>
      <c r="N95" s="458" t="s">
        <v>1260</v>
      </c>
      <c r="O95" s="299">
        <f t="shared" si="5"/>
        <v>5780</v>
      </c>
    </row>
    <row r="96" spans="1:15" customFormat="1" ht="12.4" customHeight="1" x14ac:dyDescent="0.25">
      <c r="A96" s="150" t="s">
        <v>1276</v>
      </c>
      <c r="B96" s="216"/>
      <c r="C96" s="217" t="s">
        <v>1033</v>
      </c>
      <c r="D96" s="218"/>
      <c r="E96" s="218"/>
      <c r="F96" s="218"/>
      <c r="G96" s="219"/>
      <c r="H96" s="162">
        <v>1885</v>
      </c>
      <c r="I96" s="162">
        <v>193</v>
      </c>
      <c r="J96" s="299">
        <f t="shared" si="4"/>
        <v>2078</v>
      </c>
      <c r="K96" s="458" t="s">
        <v>1260</v>
      </c>
      <c r="L96" s="162">
        <v>4335</v>
      </c>
      <c r="M96" s="162">
        <v>0</v>
      </c>
      <c r="N96" s="458" t="s">
        <v>1260</v>
      </c>
      <c r="O96" s="299">
        <f t="shared" si="5"/>
        <v>6413</v>
      </c>
    </row>
    <row r="97" spans="1:15" customFormat="1" ht="12.4" customHeight="1" x14ac:dyDescent="0.25">
      <c r="A97" s="150" t="s">
        <v>1277</v>
      </c>
      <c r="B97" s="216"/>
      <c r="C97" s="217" t="s">
        <v>1034</v>
      </c>
      <c r="D97" s="218"/>
      <c r="E97" s="218"/>
      <c r="F97" s="218"/>
      <c r="G97" s="219"/>
      <c r="H97" s="162">
        <v>2622</v>
      </c>
      <c r="I97" s="162">
        <v>676</v>
      </c>
      <c r="J97" s="299">
        <f t="shared" si="4"/>
        <v>3298</v>
      </c>
      <c r="K97" s="458" t="s">
        <v>1260</v>
      </c>
      <c r="L97" s="162">
        <v>1168</v>
      </c>
      <c r="M97" s="162">
        <v>3</v>
      </c>
      <c r="N97" s="458" t="s">
        <v>1260</v>
      </c>
      <c r="O97" s="299">
        <f t="shared" si="5"/>
        <v>4469</v>
      </c>
    </row>
    <row r="98" spans="1:15" customFormat="1" ht="12.4" customHeight="1" x14ac:dyDescent="0.25">
      <c r="A98" s="150" t="s">
        <v>1278</v>
      </c>
      <c r="B98" s="300" t="s">
        <v>1124</v>
      </c>
      <c r="C98" s="301"/>
      <c r="D98" s="301"/>
      <c r="E98" s="301"/>
      <c r="F98" s="301"/>
      <c r="G98" s="302"/>
      <c r="H98" s="172">
        <f>SUM(H85:H97)</f>
        <v>97919</v>
      </c>
      <c r="I98" s="172">
        <f>SUM(I85:I97)</f>
        <v>21844</v>
      </c>
      <c r="J98" s="172">
        <f>SUM(J85:J97)</f>
        <v>119763</v>
      </c>
      <c r="K98" s="172" t="s">
        <v>1260</v>
      </c>
      <c r="L98" s="172">
        <f>SUM(L85:L97)</f>
        <v>107277</v>
      </c>
      <c r="M98" s="172">
        <f>SUM(M85:M97)</f>
        <v>13098</v>
      </c>
      <c r="N98" s="172" t="s">
        <v>1260</v>
      </c>
      <c r="O98" s="172">
        <f>SUM(O85:O97)</f>
        <v>240138</v>
      </c>
    </row>
    <row r="99" spans="1:15" x14ac:dyDescent="0.2">
      <c r="A99" s="150"/>
      <c r="B99" s="181"/>
      <c r="C99" s="296"/>
      <c r="D99" s="296"/>
      <c r="E99" s="296"/>
      <c r="F99" s="296"/>
      <c r="G99" s="303"/>
      <c r="H99" s="274"/>
      <c r="I99" s="274"/>
      <c r="J99" s="274"/>
      <c r="K99" s="274"/>
      <c r="L99" s="274"/>
      <c r="M99" s="274"/>
      <c r="N99" s="466"/>
      <c r="O99" s="274"/>
    </row>
    <row r="100" spans="1:15" x14ac:dyDescent="0.2">
      <c r="A100" s="150">
        <v>7</v>
      </c>
      <c r="B100" s="291" t="s">
        <v>1267</v>
      </c>
      <c r="C100" s="292"/>
      <c r="D100" s="292"/>
      <c r="E100" s="292"/>
      <c r="F100" s="292"/>
      <c r="G100" s="293"/>
      <c r="H100" s="154"/>
      <c r="I100" s="154"/>
      <c r="J100" s="154"/>
      <c r="K100" s="154"/>
      <c r="L100" s="154"/>
      <c r="M100" s="154"/>
      <c r="N100" s="457"/>
      <c r="O100" s="154"/>
    </row>
    <row r="101" spans="1:15" customFormat="1" ht="12.4" customHeight="1" x14ac:dyDescent="0.25">
      <c r="A101" s="150" t="s">
        <v>894</v>
      </c>
      <c r="B101" s="307"/>
      <c r="C101" s="295" t="s">
        <v>1279</v>
      </c>
      <c r="D101" s="296"/>
      <c r="E101" s="296"/>
      <c r="F101" s="296"/>
      <c r="G101" s="297"/>
      <c r="H101" s="162">
        <v>0</v>
      </c>
      <c r="I101" s="162">
        <v>197184</v>
      </c>
      <c r="J101" s="299">
        <f>SUM(H101:I101)</f>
        <v>197184</v>
      </c>
      <c r="K101" s="458" t="s">
        <v>1260</v>
      </c>
      <c r="L101" s="162">
        <v>0</v>
      </c>
      <c r="M101" s="458" t="s">
        <v>1260</v>
      </c>
      <c r="N101" s="162">
        <v>3895</v>
      </c>
      <c r="O101" s="299">
        <f>SUM(J101:N101)</f>
        <v>201079</v>
      </c>
    </row>
    <row r="102" spans="1:15" customFormat="1" ht="12.4" customHeight="1" x14ac:dyDescent="0.25">
      <c r="A102" s="150" t="s">
        <v>895</v>
      </c>
      <c r="B102" s="307"/>
      <c r="C102" s="295" t="s">
        <v>1280</v>
      </c>
      <c r="D102" s="296"/>
      <c r="E102" s="296"/>
      <c r="F102" s="296"/>
      <c r="G102" s="297"/>
      <c r="H102" s="162">
        <v>253</v>
      </c>
      <c r="I102" s="162">
        <v>7533</v>
      </c>
      <c r="J102" s="299">
        <f>SUM(H102:I102)</f>
        <v>7786</v>
      </c>
      <c r="K102" s="162">
        <v>0</v>
      </c>
      <c r="L102" s="162">
        <v>9803</v>
      </c>
      <c r="M102" s="162">
        <v>0</v>
      </c>
      <c r="N102" s="162">
        <v>29119</v>
      </c>
      <c r="O102" s="299">
        <f>SUM(J102:N102)</f>
        <v>46708</v>
      </c>
    </row>
    <row r="103" spans="1:15" customFormat="1" ht="12.4" customHeight="1" x14ac:dyDescent="0.25">
      <c r="A103" s="150" t="s">
        <v>896</v>
      </c>
      <c r="B103" s="300" t="s">
        <v>1281</v>
      </c>
      <c r="C103" s="301"/>
      <c r="D103" s="301"/>
      <c r="E103" s="301"/>
      <c r="F103" s="301"/>
      <c r="G103" s="302"/>
      <c r="H103" s="275">
        <f t="shared" ref="H103:N103" si="6">SUM(H101:H102)</f>
        <v>253</v>
      </c>
      <c r="I103" s="275">
        <f t="shared" si="6"/>
        <v>204717</v>
      </c>
      <c r="J103" s="275">
        <f t="shared" si="6"/>
        <v>204970</v>
      </c>
      <c r="K103" s="275">
        <f t="shared" si="6"/>
        <v>0</v>
      </c>
      <c r="L103" s="275">
        <f t="shared" si="6"/>
        <v>9803</v>
      </c>
      <c r="M103" s="275">
        <f t="shared" si="6"/>
        <v>0</v>
      </c>
      <c r="N103" s="275">
        <f t="shared" si="6"/>
        <v>33014</v>
      </c>
      <c r="O103" s="275">
        <f>SUM(J103:N103)</f>
        <v>247787</v>
      </c>
    </row>
    <row r="104" spans="1:15" x14ac:dyDescent="0.2">
      <c r="A104" s="150"/>
      <c r="B104" s="308"/>
      <c r="C104" s="309"/>
      <c r="D104" s="309"/>
      <c r="E104" s="309"/>
      <c r="F104" s="309"/>
      <c r="G104" s="310"/>
      <c r="H104" s="274"/>
      <c r="I104" s="274"/>
      <c r="J104" s="274"/>
      <c r="K104" s="274"/>
      <c r="L104" s="274"/>
      <c r="M104" s="274"/>
      <c r="N104" s="466"/>
      <c r="O104" s="274"/>
    </row>
    <row r="105" spans="1:15" customFormat="1" ht="12.4" customHeight="1" x14ac:dyDescent="0.25">
      <c r="A105" s="150">
        <v>8</v>
      </c>
      <c r="B105" s="300" t="s">
        <v>815</v>
      </c>
      <c r="C105" s="301"/>
      <c r="D105" s="301"/>
      <c r="E105" s="301"/>
      <c r="F105" s="301"/>
      <c r="G105" s="302"/>
      <c r="H105" s="275">
        <f>SUM(H51,H53,H62,H98,H103)</f>
        <v>310431</v>
      </c>
      <c r="I105" s="275">
        <f>SUM(I51,I53,I62,I67,I72,I98,I103)</f>
        <v>445699</v>
      </c>
      <c r="J105" s="275">
        <f>SUM(J51,J53,J62,J67,J72,J98,J103)</f>
        <v>756130</v>
      </c>
      <c r="K105" s="275">
        <f>SUM(K103)</f>
        <v>0</v>
      </c>
      <c r="L105" s="275">
        <f>SUM(L51,L53,L62,L67,L72,L98,L103)</f>
        <v>383033</v>
      </c>
      <c r="M105" s="275">
        <f>SUM(M51,M53,M62,M67,M72,M98,M103)</f>
        <v>63758</v>
      </c>
      <c r="N105" s="275">
        <f>N67+N72+N103</f>
        <v>33014</v>
      </c>
      <c r="O105" s="275">
        <f>SUM(J105:N105)</f>
        <v>1235935</v>
      </c>
    </row>
  </sheetData>
  <sheetProtection algorithmName="SHA-512" hashValue="k+fJ21cQdnZVk90VrRdE/kFCeKA5dNCJki7VC0NMFFl3+ecPZscNB7OfflsKPaw0SUWed+g4nOr6PANJBIGFzQ==" saltValue="XT/BXe6T2w5cxoRZGg4MDg==" spinCount="100000" sheet="1" objects="1" scenarios="1"/>
  <mergeCells count="1">
    <mergeCell ref="H1:O1"/>
  </mergeCells>
  <dataValidations count="23">
    <dataValidation type="whole" operator="greaterThan" allowBlank="1" showInputMessage="1" showErrorMessage="1" errorTitle="Whole numbers only allowed" error="All monies should be independently rounded to the nearest £1,000." sqref="H86:I97">
      <formula1>-99999999</formula1>
    </dataValidation>
    <dataValidation type="whole" operator="greaterThan" allowBlank="1" showInputMessage="1" showErrorMessage="1" errorTitle="Whole numbers only allowed" error="All monies should be independently rounded to the nearest £1,000." sqref="L86:M97">
      <formula1>-99999999</formula1>
    </dataValidation>
    <dataValidation type="whole" operator="greaterThan" allowBlank="1" showInputMessage="1" showErrorMessage="1" errorTitle="Whole numbers only allowed" error="All monies should be independently rounded to the nearest £1,000." sqref="L70:N71">
      <formula1>-99999999</formula1>
    </dataValidation>
    <dataValidation type="whole" operator="greaterThan" allowBlank="1" showInputMessage="1" showErrorMessage="1" errorTitle="Whole numbers only allowed" error="All monies should be independently rounded to the nearest £1,000." sqref="H101:I102">
      <formula1>-99999999</formula1>
    </dataValidation>
    <dataValidation type="whole" operator="greaterThan" allowBlank="1" showInputMessage="1" showErrorMessage="1" errorTitle="Whole numbers only allowed" error="All monies should be independently rounded to the nearest £1,000." sqref="K102:N102">
      <formula1>-99999999</formula1>
    </dataValidation>
    <dataValidation type="whole" operator="greaterThan" allowBlank="1" showInputMessage="1" showErrorMessage="1" errorTitle="Whole numbers only allowed" error="All monies should be independently rounded to the nearest £1,000." sqref="N101">
      <formula1>-99999999</formula1>
    </dataValidation>
    <dataValidation type="whole" operator="greaterThan" allowBlank="1" showInputMessage="1" showErrorMessage="1" errorTitle="Whole numbers only allowed" error="All monies should be independently rounded to the nearest £1,000." sqref="H6:I50">
      <formula1>-99999999</formula1>
    </dataValidation>
    <dataValidation type="whole" operator="greaterThan" allowBlank="1" showInputMessage="1" showErrorMessage="1" errorTitle="Whole numbers only allowed" error="All monies should be independently rounded to the nearest £1,000." sqref="L6:M50">
      <formula1>-99999999</formula1>
    </dataValidation>
    <dataValidation type="whole" operator="greaterThan" allowBlank="1" showInputMessage="1" showErrorMessage="1" errorTitle="Whole numbers only allowed" error="All monies should be independently rounded to the nearest £1,000." sqref="H53:I53">
      <formula1>-99999999</formula1>
    </dataValidation>
    <dataValidation type="whole" operator="greaterThan" allowBlank="1" showInputMessage="1" showErrorMessage="1" errorTitle="Whole numbers only allowed" error="All monies should be independently rounded to the nearest £1,000." sqref="L53:M53">
      <formula1>-99999999</formula1>
    </dataValidation>
    <dataValidation type="whole" operator="greaterThan" allowBlank="1" showInputMessage="1" showErrorMessage="1" errorTitle="Whole numbers only allowed" error="All monies should be independently rounded to the nearest £1,000." sqref="H56:I56">
      <formula1>-99999999</formula1>
    </dataValidation>
    <dataValidation type="whole" operator="greaterThan" allowBlank="1" showInputMessage="1" showErrorMessage="1" errorTitle="Whole numbers only allowed" error="All monies should be independently rounded to the nearest £1,000." sqref="L56:M56">
      <formula1>-99999999</formula1>
    </dataValidation>
    <dataValidation type="whole" operator="greaterThan" allowBlank="1" showInputMessage="1" showErrorMessage="1" errorTitle="Whole numbers only allowed" error="All monies should be independently rounded to the nearest £1,000." sqref="H60:I61">
      <formula1>-99999999</formula1>
    </dataValidation>
    <dataValidation type="whole" operator="greaterThan" allowBlank="1" showInputMessage="1" showErrorMessage="1" errorTitle="Whole numbers only allowed" error="All monies should be independently rounded to the nearest £1,000." sqref="L58:L61">
      <formula1>-99999999</formula1>
    </dataValidation>
    <dataValidation type="whole" operator="greaterThan" allowBlank="1" showInputMessage="1" showErrorMessage="1" errorTitle="Whole numbers only allowed" error="All monies should be independently rounded to the nearest £1,000." sqref="M60:M61">
      <formula1>-99999999</formula1>
    </dataValidation>
    <dataValidation type="whole" operator="greaterThan" allowBlank="1" showInputMessage="1" showErrorMessage="1" errorTitle="Whole numbers only allowed" error="All monies should be independently rounded to the nearest £1,000." sqref="I65:I66">
      <formula1>-99999999</formula1>
    </dataValidation>
    <dataValidation type="whole" operator="greaterThan" allowBlank="1" showInputMessage="1" showErrorMessage="1" errorTitle="Whole numbers only allowed" error="All monies should be independently rounded to the nearest £1,000." sqref="L65:L66">
      <formula1>-99999999</formula1>
    </dataValidation>
    <dataValidation type="whole" operator="greaterThan" allowBlank="1" showInputMessage="1" showErrorMessage="1" errorTitle="Whole numbers only allowed" error="All monies should be independently rounded to the nearest £1,000." sqref="M66:N66">
      <formula1>-99999999</formula1>
    </dataValidation>
    <dataValidation type="whole" operator="greaterThan" allowBlank="1" showInputMessage="1" showErrorMessage="1" errorTitle="Whole numbers only allowed" error="All monies should be independently rounded to the nearest £1,000." sqref="I70:I71">
      <formula1>-99999999</formula1>
    </dataValidation>
    <dataValidation type="whole" operator="greaterThan" allowBlank="1" showInputMessage="1" showErrorMessage="1" errorTitle="Whole numbers only allowed" error="All monies should be independently rounded to the nearest £1,000." sqref="L101">
      <formula1>-99999999</formula1>
    </dataValidation>
    <dataValidation type="whole" operator="greaterThan" allowBlank="1" showInputMessage="1" showErrorMessage="1" errorTitle="Whole numbers only allowed" error="All monies should be independently rounded to the nearest £1,000." sqref="N65">
      <formula1>-99999999</formula1>
    </dataValidation>
    <dataValidation type="whole" operator="greaterThan" allowBlank="1" showInputMessage="1" showErrorMessage="1" errorTitle="Whole numbers only allowed" error="All monies should be independently rounded to the nearest £1,000." sqref="L76:M84">
      <formula1>-99999999</formula1>
    </dataValidation>
    <dataValidation type="whole" operator="greaterThan" allowBlank="1" showInputMessage="1" showErrorMessage="1" errorTitle="Whole numbers only allowed" error="All monies should be independently rounded to the nearest £1,000." sqref="H76:I84">
      <formula1>-99999999</formula1>
    </dataValidation>
  </dataValidations>
  <printOptions headings="1" gridLines="1"/>
  <pageMargins left="0.31496062992125984" right="0.31496062992125984" top="0.74803149606299213" bottom="0.74803149606299213" header="0.31496062992125984" footer="0.31496062992125984"/>
  <pageSetup paperSize="8" scale="64" orientation="portrait" r:id="rId1"/>
  <ignoredErrors>
    <ignoredError sqref="J85 O85 M67 J57 K105" formula="1"/>
    <ignoredError sqref="H103:I103" unlockedFormula="1"/>
    <ignoredError sqref="L57" formula="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17"/>
  <sheetViews>
    <sheetView zoomScaleNormal="100" workbookViewId="0">
      <selection activeCell="J43" sqref="J43"/>
    </sheetView>
  </sheetViews>
  <sheetFormatPr defaultColWidth="9.140625" defaultRowHeight="12.75" x14ac:dyDescent="0.2"/>
  <cols>
    <col min="1" max="1" width="10" style="200" bestFit="1" customWidth="1"/>
    <col min="2" max="2" width="2.5703125" style="129" customWidth="1"/>
    <col min="3" max="3" width="21.5703125" style="129" customWidth="1"/>
    <col min="4" max="5" width="3.85546875" style="129" hidden="1" customWidth="1"/>
    <col min="6" max="6" width="3.28515625" style="129" hidden="1" customWidth="1"/>
    <col min="7" max="7" width="2.28515625" style="129" hidden="1" customWidth="1"/>
    <col min="8" max="10" width="15.7109375" style="129" customWidth="1"/>
    <col min="11" max="11" width="14.7109375" style="129" customWidth="1"/>
    <col min="12" max="12" width="14.85546875" style="129" customWidth="1"/>
    <col min="13" max="13" width="14.42578125" style="129" customWidth="1"/>
    <col min="14" max="14" width="14.28515625" style="129" customWidth="1"/>
    <col min="15" max="15" width="15.7109375" style="129" customWidth="1"/>
    <col min="16" max="16" width="9.140625" style="129" customWidth="1"/>
    <col min="17" max="16384" width="9.140625" style="129"/>
  </cols>
  <sheetData>
    <row r="1" spans="1:15" customFormat="1" ht="15.4" customHeight="1" x14ac:dyDescent="0.25">
      <c r="A1" s="404" t="s">
        <v>1282</v>
      </c>
      <c r="B1" s="405" t="s">
        <v>1283</v>
      </c>
      <c r="C1" s="405"/>
      <c r="D1" s="405"/>
      <c r="E1" s="405"/>
      <c r="F1" s="405"/>
      <c r="G1" s="405"/>
      <c r="H1" s="647" t="s">
        <v>1284</v>
      </c>
      <c r="I1" s="647"/>
      <c r="J1" s="647"/>
      <c r="K1" s="647"/>
      <c r="L1" s="647"/>
      <c r="M1" s="647"/>
      <c r="N1" s="647"/>
      <c r="O1" s="647"/>
    </row>
    <row r="2" spans="1:15" customFormat="1" ht="15.75" customHeight="1" x14ac:dyDescent="0.25">
      <c r="A2" s="475"/>
      <c r="B2" s="476"/>
      <c r="C2" s="476"/>
      <c r="D2" s="476"/>
      <c r="E2" s="476"/>
      <c r="F2" s="476"/>
      <c r="G2" s="476"/>
      <c r="H2" s="477">
        <v>1</v>
      </c>
      <c r="I2" s="477">
        <v>2</v>
      </c>
      <c r="J2" s="477">
        <v>3</v>
      </c>
      <c r="K2" s="477">
        <v>4</v>
      </c>
      <c r="L2" s="477">
        <v>5</v>
      </c>
      <c r="M2" s="477">
        <v>6</v>
      </c>
      <c r="N2" s="477">
        <v>7</v>
      </c>
      <c r="O2" s="477">
        <v>8</v>
      </c>
    </row>
    <row r="3" spans="1:15" customFormat="1" ht="45.4" customHeight="1" x14ac:dyDescent="0.25">
      <c r="A3" s="475"/>
      <c r="B3" s="476"/>
      <c r="C3" s="476"/>
      <c r="D3" s="476"/>
      <c r="E3" s="476"/>
      <c r="F3" s="476"/>
      <c r="G3" s="478"/>
      <c r="H3" s="479" t="s">
        <v>1285</v>
      </c>
      <c r="I3" s="479" t="s">
        <v>792</v>
      </c>
      <c r="J3" s="479" t="s">
        <v>1286</v>
      </c>
      <c r="K3" s="479" t="s">
        <v>1287</v>
      </c>
      <c r="L3" s="479" t="s">
        <v>1288</v>
      </c>
      <c r="M3" s="480" t="s">
        <v>1289</v>
      </c>
      <c r="N3" s="480" t="s">
        <v>1290</v>
      </c>
      <c r="O3" s="479" t="s">
        <v>1291</v>
      </c>
    </row>
    <row r="4" spans="1:15" customFormat="1" ht="15.4" customHeight="1" x14ac:dyDescent="0.25">
      <c r="A4" s="475"/>
      <c r="B4" s="481"/>
      <c r="C4" s="481"/>
      <c r="D4" s="481"/>
      <c r="E4" s="481"/>
      <c r="F4" s="481"/>
      <c r="G4" s="482"/>
      <c r="H4" s="322" t="s">
        <v>784</v>
      </c>
      <c r="I4" s="322" t="s">
        <v>784</v>
      </c>
      <c r="J4" s="322" t="s">
        <v>784</v>
      </c>
      <c r="K4" s="322" t="s">
        <v>784</v>
      </c>
      <c r="L4" s="322" t="s">
        <v>784</v>
      </c>
      <c r="M4" s="483" t="s">
        <v>784</v>
      </c>
      <c r="N4" s="483" t="s">
        <v>784</v>
      </c>
      <c r="O4" s="322" t="s">
        <v>784</v>
      </c>
    </row>
    <row r="5" spans="1:15" customFormat="1" ht="12.75" customHeight="1" x14ac:dyDescent="0.25">
      <c r="A5" s="150">
        <v>1</v>
      </c>
      <c r="B5" s="291" t="s">
        <v>1204</v>
      </c>
      <c r="C5" s="292"/>
      <c r="D5" s="292"/>
      <c r="E5" s="292"/>
      <c r="F5" s="292"/>
      <c r="G5" s="293"/>
      <c r="H5" s="484"/>
      <c r="I5" s="484"/>
      <c r="J5" s="484"/>
      <c r="K5" s="484"/>
      <c r="L5" s="484"/>
      <c r="M5" s="484"/>
      <c r="N5" s="484"/>
      <c r="O5" s="484"/>
    </row>
    <row r="6" spans="1:15" customFormat="1" ht="12.75" customHeight="1" x14ac:dyDescent="0.25">
      <c r="A6" s="150" t="s">
        <v>789</v>
      </c>
      <c r="B6" s="307"/>
      <c r="C6" s="295" t="s">
        <v>1292</v>
      </c>
      <c r="D6" s="296"/>
      <c r="E6" s="296"/>
      <c r="F6" s="296"/>
      <c r="G6" s="297"/>
      <c r="H6" s="299">
        <f>SUM(I6:O6)</f>
        <v>3410</v>
      </c>
      <c r="I6" s="421">
        <v>0</v>
      </c>
      <c r="J6" s="421">
        <v>0</v>
      </c>
      <c r="K6" s="421">
        <v>3409</v>
      </c>
      <c r="L6" s="421">
        <v>1</v>
      </c>
      <c r="M6" s="605">
        <v>0</v>
      </c>
      <c r="N6" s="605">
        <v>0</v>
      </c>
      <c r="O6" s="421">
        <v>0</v>
      </c>
    </row>
    <row r="7" spans="1:15" customFormat="1" ht="12.75" customHeight="1" x14ac:dyDescent="0.25">
      <c r="A7" s="150" t="s">
        <v>791</v>
      </c>
      <c r="B7" s="307"/>
      <c r="C7" s="295" t="s">
        <v>1293</v>
      </c>
      <c r="D7" s="296"/>
      <c r="E7" s="296"/>
      <c r="F7" s="296"/>
      <c r="G7" s="297"/>
      <c r="H7" s="299">
        <f>SUM(I7:O7)</f>
        <v>0</v>
      </c>
      <c r="I7" s="421">
        <v>0</v>
      </c>
      <c r="J7" s="421">
        <v>0</v>
      </c>
      <c r="K7" s="421">
        <v>0</v>
      </c>
      <c r="L7" s="421">
        <v>0</v>
      </c>
      <c r="M7" s="605">
        <v>0</v>
      </c>
      <c r="N7" s="605">
        <v>0</v>
      </c>
      <c r="O7" s="421">
        <v>0</v>
      </c>
    </row>
    <row r="8" spans="1:15" customFormat="1" ht="12.75" customHeight="1" x14ac:dyDescent="0.25">
      <c r="A8" s="150"/>
      <c r="B8" s="307"/>
      <c r="C8" s="295"/>
      <c r="D8" s="296"/>
      <c r="E8" s="296"/>
      <c r="F8" s="296"/>
      <c r="G8" s="297"/>
      <c r="H8" s="299"/>
      <c r="I8" s="425"/>
      <c r="J8" s="425"/>
      <c r="K8" s="425"/>
      <c r="L8" s="425"/>
      <c r="M8" s="415"/>
      <c r="N8" s="415"/>
      <c r="O8" s="425"/>
    </row>
    <row r="9" spans="1:15" customFormat="1" ht="12.75" customHeight="1" x14ac:dyDescent="0.25">
      <c r="A9" s="150">
        <v>2</v>
      </c>
      <c r="B9" s="291" t="s">
        <v>1270</v>
      </c>
      <c r="C9" s="292"/>
      <c r="D9" s="292"/>
      <c r="E9" s="292"/>
      <c r="F9" s="292"/>
      <c r="G9" s="293"/>
      <c r="H9" s="484"/>
      <c r="I9" s="484"/>
      <c r="J9" s="484"/>
      <c r="K9" s="484"/>
      <c r="L9" s="484"/>
      <c r="M9" s="484"/>
      <c r="N9" s="484"/>
      <c r="O9" s="484"/>
    </row>
    <row r="10" spans="1:15" customFormat="1" ht="12.75" customHeight="1" x14ac:dyDescent="0.25">
      <c r="A10" s="150" t="s">
        <v>804</v>
      </c>
      <c r="B10" s="307"/>
      <c r="C10" s="295" t="s">
        <v>1292</v>
      </c>
      <c r="D10" s="296"/>
      <c r="E10" s="296"/>
      <c r="F10" s="296"/>
      <c r="G10" s="297"/>
      <c r="H10" s="299">
        <f>SUM(I10:O10)</f>
        <v>0</v>
      </c>
      <c r="I10" s="421">
        <v>0</v>
      </c>
      <c r="J10" s="421">
        <v>0</v>
      </c>
      <c r="K10" s="421">
        <v>0</v>
      </c>
      <c r="L10" s="421">
        <v>0</v>
      </c>
      <c r="M10" s="298">
        <v>0</v>
      </c>
      <c r="N10" s="298">
        <v>0</v>
      </c>
      <c r="O10" s="421">
        <v>0</v>
      </c>
    </row>
    <row r="11" spans="1:15" customFormat="1" ht="12.75" customHeight="1" x14ac:dyDescent="0.25">
      <c r="A11" s="150" t="s">
        <v>806</v>
      </c>
      <c r="B11" s="307"/>
      <c r="C11" s="295" t="s">
        <v>1293</v>
      </c>
      <c r="D11" s="296"/>
      <c r="E11" s="296"/>
      <c r="F11" s="296"/>
      <c r="G11" s="297"/>
      <c r="H11" s="299">
        <f>SUM(I11:O11)</f>
        <v>0</v>
      </c>
      <c r="I11" s="421">
        <v>0</v>
      </c>
      <c r="J11" s="421">
        <v>0</v>
      </c>
      <c r="K11" s="421">
        <v>0</v>
      </c>
      <c r="L11" s="421">
        <v>0</v>
      </c>
      <c r="M11" s="298">
        <v>0</v>
      </c>
      <c r="N11" s="298">
        <v>0</v>
      </c>
      <c r="O11" s="421">
        <v>0</v>
      </c>
    </row>
    <row r="12" spans="1:15" customFormat="1" ht="12.75" customHeight="1" x14ac:dyDescent="0.25">
      <c r="A12" s="150"/>
      <c r="B12" s="307"/>
      <c r="C12" s="295"/>
      <c r="D12" s="296"/>
      <c r="E12" s="296"/>
      <c r="F12" s="296"/>
      <c r="G12" s="297"/>
      <c r="H12" s="299"/>
      <c r="I12" s="425"/>
      <c r="J12" s="425"/>
      <c r="K12" s="425"/>
      <c r="L12" s="425"/>
      <c r="M12" s="415"/>
      <c r="N12" s="415"/>
      <c r="O12" s="425"/>
    </row>
    <row r="13" spans="1:15" customFormat="1" ht="12.75" customHeight="1" x14ac:dyDescent="0.25">
      <c r="A13" s="150">
        <v>3</v>
      </c>
      <c r="B13" s="291" t="s">
        <v>1294</v>
      </c>
      <c r="C13" s="292"/>
      <c r="D13" s="292"/>
      <c r="E13" s="292"/>
      <c r="F13" s="292"/>
      <c r="G13" s="293"/>
      <c r="H13" s="485"/>
      <c r="I13" s="485"/>
      <c r="J13" s="485"/>
      <c r="K13" s="485"/>
      <c r="L13" s="485"/>
      <c r="M13" s="486"/>
      <c r="N13" s="486"/>
      <c r="O13" s="485"/>
    </row>
    <row r="14" spans="1:15" customFormat="1" ht="12.75" customHeight="1" x14ac:dyDescent="0.25">
      <c r="A14" s="150" t="s">
        <v>876</v>
      </c>
      <c r="B14" s="307"/>
      <c r="C14" s="295" t="s">
        <v>1292</v>
      </c>
      <c r="D14" s="296"/>
      <c r="E14" s="296"/>
      <c r="F14" s="296"/>
      <c r="G14" s="297"/>
      <c r="H14" s="299">
        <f>SUM(I14:O14)</f>
        <v>116163</v>
      </c>
      <c r="I14" s="421">
        <v>14708</v>
      </c>
      <c r="J14" s="421">
        <v>5876</v>
      </c>
      <c r="K14" s="421">
        <v>52610</v>
      </c>
      <c r="L14" s="421">
        <v>23197</v>
      </c>
      <c r="M14" s="605">
        <v>0</v>
      </c>
      <c r="N14" s="605">
        <v>0</v>
      </c>
      <c r="O14" s="421">
        <v>19772</v>
      </c>
    </row>
    <row r="15" spans="1:15" customFormat="1" ht="12.75" customHeight="1" x14ac:dyDescent="0.25">
      <c r="A15" s="150" t="s">
        <v>878</v>
      </c>
      <c r="B15" s="307"/>
      <c r="C15" s="295" t="s">
        <v>1293</v>
      </c>
      <c r="D15" s="296"/>
      <c r="E15" s="296"/>
      <c r="F15" s="296"/>
      <c r="G15" s="297"/>
      <c r="H15" s="299">
        <f>SUM(I15:O15)</f>
        <v>22918</v>
      </c>
      <c r="I15" s="421">
        <v>0</v>
      </c>
      <c r="J15" s="421">
        <v>0</v>
      </c>
      <c r="K15" s="421">
        <v>13574</v>
      </c>
      <c r="L15" s="421">
        <v>0</v>
      </c>
      <c r="M15" s="605">
        <v>0</v>
      </c>
      <c r="N15" s="605">
        <v>0</v>
      </c>
      <c r="O15" s="421">
        <v>9344</v>
      </c>
    </row>
    <row r="16" spans="1:15" customFormat="1" ht="12.75" customHeight="1" x14ac:dyDescent="0.25">
      <c r="A16" s="150"/>
      <c r="B16" s="307"/>
      <c r="C16" s="295"/>
      <c r="D16" s="296"/>
      <c r="E16" s="296"/>
      <c r="F16" s="296"/>
      <c r="G16" s="297"/>
      <c r="H16" s="299"/>
      <c r="I16" s="425"/>
      <c r="J16" s="425"/>
      <c r="K16" s="425"/>
      <c r="L16" s="425"/>
      <c r="M16" s="415"/>
      <c r="N16" s="415"/>
      <c r="O16" s="425"/>
    </row>
    <row r="17" spans="1:15" customFormat="1" ht="12.75" customHeight="1" x14ac:dyDescent="0.25">
      <c r="A17" s="150">
        <v>4</v>
      </c>
      <c r="B17" s="300" t="s">
        <v>1295</v>
      </c>
      <c r="C17" s="301"/>
      <c r="D17" s="301"/>
      <c r="E17" s="301"/>
      <c r="F17" s="301"/>
      <c r="G17" s="302"/>
      <c r="H17" s="487">
        <f>SUM(I17:O17)</f>
        <v>142491</v>
      </c>
      <c r="I17" s="487">
        <f t="shared" ref="I17:O17" si="0">SUM(I6:I7)+SUM(I10:I11)+SUM(I14:I15)</f>
        <v>14708</v>
      </c>
      <c r="J17" s="487">
        <f t="shared" si="0"/>
        <v>5876</v>
      </c>
      <c r="K17" s="487">
        <f t="shared" si="0"/>
        <v>69593</v>
      </c>
      <c r="L17" s="487">
        <f t="shared" si="0"/>
        <v>23198</v>
      </c>
      <c r="M17" s="487">
        <f t="shared" si="0"/>
        <v>0</v>
      </c>
      <c r="N17" s="487">
        <f t="shared" si="0"/>
        <v>0</v>
      </c>
      <c r="O17" s="487">
        <f t="shared" si="0"/>
        <v>29116</v>
      </c>
    </row>
  </sheetData>
  <sheetProtection algorithmName="SHA-512" hashValue="shXb6MgdPwtkQaN8y1GnmB5HZqALLCAZFU4bYajLQY9YuZMMxJQH2XwOoJSSA2HhfutrCACOBTFuuedfFie4Gg==" saltValue="SB7DEW4lS7qD54mqNs9jVQ==" spinCount="100000" sheet="1" objects="1" scenarios="1"/>
  <mergeCells count="1">
    <mergeCell ref="H1:O1"/>
  </mergeCells>
  <dataValidations count="3">
    <dataValidation type="whole" operator="greaterThan" allowBlank="1" showInputMessage="1" showErrorMessage="1" errorTitle="Whole numbers only allowed" error="All monies should be independently rounded to the nearest £1,000." sqref="I14:O15">
      <formula1>-99999999</formula1>
    </dataValidation>
    <dataValidation type="whole" operator="greaterThan" allowBlank="1" showInputMessage="1" showErrorMessage="1" errorTitle="Whole numbers only allowed" error="All monies should be independently rounded to the nearest £1,000." sqref="I10:O11">
      <formula1>-99999999</formula1>
    </dataValidation>
    <dataValidation type="whole" operator="greaterThan" allowBlank="1" showInputMessage="1" showErrorMessage="1" errorTitle="Whole numbers only allowed" error="All monies should be independently rounded to the nearest £1,000." sqref="I6:O7">
      <formula1>-99999999</formula1>
    </dataValidation>
  </dataValidations>
  <printOptions headings="1" gridLines="1"/>
  <pageMargins left="0.31496062992125984" right="0.31496062992125984" top="0.74803149606299213" bottom="0.74803149606299213" header="0.31496062992125984" footer="0.31496062992125984"/>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X58"/>
  <sheetViews>
    <sheetView zoomScale="90" zoomScaleNormal="90" workbookViewId="0">
      <pane ySplit="4" topLeftCell="A5" activePane="bottomLeft" state="frozenSplit"/>
      <selection pane="bottomLeft" activeCell="K15" sqref="K15"/>
    </sheetView>
  </sheetViews>
  <sheetFormatPr defaultColWidth="9.140625" defaultRowHeight="12.75" x14ac:dyDescent="0.2"/>
  <cols>
    <col min="1" max="1" width="12.42578125" style="200" customWidth="1"/>
    <col min="2" max="2" width="2.7109375" style="129" customWidth="1"/>
    <col min="3" max="3" width="54.5703125" style="129" customWidth="1"/>
    <col min="4" max="4" width="52.28515625" style="129" hidden="1" customWidth="1"/>
    <col min="5" max="5" width="3.28515625" style="129" hidden="1" customWidth="1"/>
    <col min="6" max="6" width="4.140625" style="129" hidden="1" customWidth="1"/>
    <col min="7" max="7" width="2.7109375" style="129" hidden="1" customWidth="1"/>
    <col min="8" max="9" width="16.42578125" style="129" customWidth="1"/>
    <col min="10" max="10" width="17.28515625" style="129" hidden="1" customWidth="1"/>
    <col min="11" max="11" width="52.28515625" style="195" customWidth="1"/>
    <col min="12" max="12" width="46.5703125" style="195" customWidth="1"/>
    <col min="13" max="13" width="20.5703125" style="164" hidden="1" customWidth="1"/>
    <col min="14" max="14" width="12.42578125" style="129" hidden="1" customWidth="1"/>
    <col min="15" max="15" width="14.140625" style="129" hidden="1" customWidth="1"/>
    <col min="16" max="16" width="19.28515625" style="164" hidden="1" customWidth="1"/>
    <col min="17" max="17" width="10" style="129" hidden="1" customWidth="1"/>
    <col min="18" max="18" width="17.7109375" style="129" hidden="1" customWidth="1"/>
    <col min="19" max="19" width="21.28515625" style="129" hidden="1" customWidth="1"/>
    <col min="20" max="20" width="14.85546875" style="129" hidden="1" customWidth="1"/>
    <col min="21" max="21" width="18" style="129" hidden="1" customWidth="1"/>
    <col min="22" max="22" width="19.85546875" style="129" hidden="1" customWidth="1"/>
    <col min="23" max="23" width="12.42578125" style="129" hidden="1" customWidth="1"/>
    <col min="24" max="24" width="12.5703125" style="129" hidden="1" customWidth="1"/>
    <col min="25" max="25" width="9.140625" style="129" customWidth="1"/>
    <col min="26" max="16384" width="9.140625" style="129"/>
  </cols>
  <sheetData>
    <row r="1" spans="1:24" customFormat="1" ht="65.25" customHeight="1" x14ac:dyDescent="0.25">
      <c r="A1" s="130" t="s">
        <v>1296</v>
      </c>
      <c r="B1" s="615" t="s">
        <v>1297</v>
      </c>
      <c r="C1" s="615"/>
      <c r="D1" s="615"/>
      <c r="E1" s="615"/>
      <c r="F1" s="615"/>
      <c r="G1" s="615"/>
      <c r="H1" s="488"/>
      <c r="I1" s="133" t="s">
        <v>780</v>
      </c>
      <c r="J1" s="133" t="s">
        <v>780</v>
      </c>
    </row>
    <row r="2" spans="1:24" customFormat="1" ht="42" customHeight="1" x14ac:dyDescent="0.25">
      <c r="A2" s="136"/>
      <c r="B2" s="137" t="str">
        <f>'Hide_me(drop_downs)'!I1</f>
        <v>Year ended 31 July 2019</v>
      </c>
      <c r="C2" s="207"/>
      <c r="D2" s="207"/>
      <c r="E2" s="207"/>
      <c r="F2" s="207"/>
      <c r="G2" s="207"/>
      <c r="H2" s="207"/>
      <c r="I2" s="139" t="s">
        <v>781</v>
      </c>
      <c r="J2" s="139" t="s">
        <v>782</v>
      </c>
      <c r="K2" s="651" t="s">
        <v>1298</v>
      </c>
      <c r="L2" s="651"/>
    </row>
    <row r="3" spans="1:24" customFormat="1" ht="39.75" customHeight="1" x14ac:dyDescent="0.25">
      <c r="A3" s="141"/>
      <c r="B3" s="142"/>
      <c r="C3" s="142"/>
      <c r="D3" s="142"/>
      <c r="E3" s="142"/>
      <c r="F3" s="142"/>
      <c r="G3" s="143"/>
      <c r="H3" s="26" t="str">
        <f>'Hide_me(drop_downs)'!I1</f>
        <v>Year ended 31 July 2019</v>
      </c>
      <c r="I3" s="27" t="str">
        <f>'Hide_me(drop_downs)'!J1</f>
        <v>Year ended 31 July 2018</v>
      </c>
      <c r="J3" s="27" t="str">
        <f>'Hide_me(drop_downs)'!J1</f>
        <v>Year ended 31 July 2018</v>
      </c>
      <c r="K3" s="164" t="str">
        <f>'Hide_me(drop_downs)'!I1</f>
        <v>Year ended 31 July 2019</v>
      </c>
      <c r="L3" s="149" t="str">
        <f>'Hide_me(drop_downs)'!J1</f>
        <v>Year ended 31 July 2018</v>
      </c>
      <c r="N3" s="652" t="s">
        <v>1299</v>
      </c>
      <c r="O3" s="652"/>
      <c r="Q3" s="652" t="s">
        <v>1299</v>
      </c>
      <c r="R3" s="652"/>
      <c r="S3" s="164"/>
      <c r="T3" s="652" t="s">
        <v>1299</v>
      </c>
      <c r="U3" s="652"/>
      <c r="V3" s="164"/>
      <c r="W3" s="652" t="s">
        <v>1299</v>
      </c>
      <c r="X3" s="652"/>
    </row>
    <row r="4" spans="1:24" customFormat="1" ht="28.5" customHeight="1" x14ac:dyDescent="0.25">
      <c r="A4" s="145"/>
      <c r="B4" s="146"/>
      <c r="C4" s="146"/>
      <c r="D4" s="146"/>
      <c r="E4" s="146"/>
      <c r="F4" s="146"/>
      <c r="G4" s="147"/>
      <c r="H4" s="148" t="s">
        <v>784</v>
      </c>
      <c r="I4" s="148" t="s">
        <v>784</v>
      </c>
      <c r="J4" s="148" t="s">
        <v>784</v>
      </c>
      <c r="K4" s="489" t="s">
        <v>1300</v>
      </c>
      <c r="L4" s="489" t="s">
        <v>1300</v>
      </c>
      <c r="M4" s="490" t="s">
        <v>1301</v>
      </c>
      <c r="N4" s="149" t="s">
        <v>190</v>
      </c>
      <c r="O4" s="269" t="s">
        <v>1302</v>
      </c>
      <c r="P4" s="490" t="s">
        <v>1303</v>
      </c>
      <c r="Q4" s="269" t="s">
        <v>190</v>
      </c>
      <c r="R4" s="269" t="s">
        <v>1302</v>
      </c>
      <c r="S4" s="490" t="s">
        <v>1304</v>
      </c>
      <c r="T4" s="149" t="s">
        <v>190</v>
      </c>
      <c r="U4" s="269" t="s">
        <v>1302</v>
      </c>
      <c r="V4" s="490" t="s">
        <v>1305</v>
      </c>
      <c r="W4" s="129" t="s">
        <v>190</v>
      </c>
      <c r="X4" s="269" t="s">
        <v>1302</v>
      </c>
    </row>
    <row r="5" spans="1:24" customFormat="1" ht="12.75" customHeight="1" x14ac:dyDescent="0.25">
      <c r="A5" s="150">
        <v>1</v>
      </c>
      <c r="B5" s="151" t="s">
        <v>787</v>
      </c>
      <c r="C5" s="152"/>
      <c r="D5" s="152"/>
      <c r="E5" s="152"/>
      <c r="F5" s="152"/>
      <c r="G5" s="153"/>
      <c r="H5" s="154"/>
      <c r="I5" s="154"/>
      <c r="J5" s="154"/>
      <c r="K5" s="129"/>
      <c r="L5" s="129"/>
      <c r="N5" s="164"/>
      <c r="S5" s="164"/>
      <c r="T5" s="164"/>
      <c r="V5" s="164"/>
    </row>
    <row r="6" spans="1:24" customFormat="1" ht="12.75" customHeight="1" x14ac:dyDescent="0.25">
      <c r="A6" s="150" t="s">
        <v>789</v>
      </c>
      <c r="B6" s="157"/>
      <c r="C6" s="158" t="s">
        <v>790</v>
      </c>
      <c r="D6" s="158"/>
      <c r="E6" s="159"/>
      <c r="F6" s="159"/>
      <c r="G6" s="160"/>
      <c r="H6" s="161">
        <v>0</v>
      </c>
      <c r="I6" s="161">
        <v>0</v>
      </c>
      <c r="J6" s="166">
        <v>0</v>
      </c>
      <c r="K6" s="491"/>
      <c r="L6" s="491"/>
      <c r="M6" s="164" t="str">
        <f>IF(OR(AND(SUM(Table_10_UK!H6)&lt;&gt;0,ISBLANK(Table_10_UK!K6))),"Fail", "Pass")</f>
        <v>Pass</v>
      </c>
      <c r="N6" s="164" t="s">
        <v>1306</v>
      </c>
      <c r="O6" s="129" t="str">
        <f t="shared" ref="O6:O11" si="0">IF(M6 = "Fail", N6, "")</f>
        <v/>
      </c>
      <c r="P6" s="164" t="str">
        <f t="shared" ref="P6:P11" si="1">IF(AND(SUM(H6)=0,NOT(ISBLANK(K6))),"Fail","Pass")</f>
        <v>Pass</v>
      </c>
      <c r="Q6" s="129" t="s">
        <v>1307</v>
      </c>
      <c r="R6" s="129" t="str">
        <f t="shared" ref="R6:R11" si="2">IF(P6 = "Fail", Q6, "")</f>
        <v/>
      </c>
      <c r="S6" s="164" t="str">
        <f>IF(OR(AND(SUM(Table_10_UK!I6)&lt;&gt;0,ISBLANK(Table_10_UK!L6))),"Fail", "Pass")</f>
        <v>Pass</v>
      </c>
      <c r="T6" s="164" t="s">
        <v>1308</v>
      </c>
      <c r="U6" s="129" t="str">
        <f t="shared" ref="U6:U11" si="3">IF(S6 = "Fail", T6, "")</f>
        <v/>
      </c>
      <c r="V6" s="164" t="str">
        <f t="shared" ref="V6:V11" si="4">IF(AND(SUM(I6)=0,NOT(ISBLANK(L6))),"Fail","Pass")</f>
        <v>Pass</v>
      </c>
      <c r="W6" s="129" t="s">
        <v>1309</v>
      </c>
      <c r="X6" s="129" t="str">
        <f t="shared" ref="X6:X11" si="5">IF(V6 = "Fail", W6, "")</f>
        <v/>
      </c>
    </row>
    <row r="7" spans="1:24" customFormat="1" ht="12.75" customHeight="1" x14ac:dyDescent="0.25">
      <c r="A7" s="150" t="s">
        <v>791</v>
      </c>
      <c r="B7" s="157"/>
      <c r="C7" s="158" t="s">
        <v>792</v>
      </c>
      <c r="D7" s="158"/>
      <c r="E7" s="159"/>
      <c r="F7" s="159"/>
      <c r="G7" s="160"/>
      <c r="H7" s="161">
        <v>0</v>
      </c>
      <c r="I7" s="161">
        <v>0</v>
      </c>
      <c r="J7" s="166">
        <v>0</v>
      </c>
      <c r="K7" s="491"/>
      <c r="L7" s="491"/>
      <c r="M7" s="164" t="str">
        <f>IF(OR(AND(SUM(Table_10_UK!H7)&lt;&gt;0,ISBLANK(Table_10_UK!K7))),"Fail", "Pass")</f>
        <v>Pass</v>
      </c>
      <c r="N7" s="164" t="s">
        <v>1310</v>
      </c>
      <c r="O7" s="129" t="str">
        <f t="shared" si="0"/>
        <v/>
      </c>
      <c r="P7" s="164" t="str">
        <f t="shared" si="1"/>
        <v>Pass</v>
      </c>
      <c r="Q7" s="129" t="s">
        <v>1311</v>
      </c>
      <c r="R7" s="129" t="str">
        <f t="shared" si="2"/>
        <v/>
      </c>
      <c r="S7" s="164" t="str">
        <f>IF(OR(AND(SUM(Table_10_UK!I7)&lt;&gt;0,ISBLANK(Table_10_UK!L7))),"Fail", "Pass")</f>
        <v>Pass</v>
      </c>
      <c r="T7" s="164" t="s">
        <v>1312</v>
      </c>
      <c r="U7" s="129" t="str">
        <f t="shared" si="3"/>
        <v/>
      </c>
      <c r="V7" s="164" t="str">
        <f t="shared" si="4"/>
        <v>Pass</v>
      </c>
      <c r="W7" s="129" t="s">
        <v>1313</v>
      </c>
      <c r="X7" s="129" t="str">
        <f t="shared" si="5"/>
        <v/>
      </c>
    </row>
    <row r="8" spans="1:24" customFormat="1" ht="12.75" customHeight="1" x14ac:dyDescent="0.25">
      <c r="A8" s="150" t="s">
        <v>793</v>
      </c>
      <c r="B8" s="157"/>
      <c r="C8" s="158" t="s">
        <v>794</v>
      </c>
      <c r="D8" s="158"/>
      <c r="E8" s="159"/>
      <c r="F8" s="159"/>
      <c r="G8" s="160"/>
      <c r="H8" s="161">
        <v>0</v>
      </c>
      <c r="I8" s="161">
        <v>0</v>
      </c>
      <c r="J8" s="166">
        <v>0</v>
      </c>
      <c r="K8" s="491"/>
      <c r="L8" s="491"/>
      <c r="M8" s="164" t="str">
        <f>IF(OR(AND(SUM(Table_10_UK!H8)&lt;&gt;0,ISBLANK(Table_10_UK!K8))),"Fail", "Pass")</f>
        <v>Pass</v>
      </c>
      <c r="N8" s="164" t="s">
        <v>1314</v>
      </c>
      <c r="O8" s="129" t="str">
        <f t="shared" si="0"/>
        <v/>
      </c>
      <c r="P8" s="164" t="str">
        <f t="shared" si="1"/>
        <v>Pass</v>
      </c>
      <c r="Q8" s="129" t="s">
        <v>1315</v>
      </c>
      <c r="R8" s="129" t="str">
        <f t="shared" si="2"/>
        <v/>
      </c>
      <c r="S8" s="164" t="str">
        <f>IF(OR(AND(SUM(Table_10_UK!I8)&lt;&gt;0,ISBLANK(Table_10_UK!L8))),"Fail", "Pass")</f>
        <v>Pass</v>
      </c>
      <c r="T8" s="164" t="s">
        <v>1316</v>
      </c>
      <c r="U8" s="129" t="str">
        <f t="shared" si="3"/>
        <v/>
      </c>
      <c r="V8" s="164" t="str">
        <f t="shared" si="4"/>
        <v>Pass</v>
      </c>
      <c r="W8" s="129" t="s">
        <v>1317</v>
      </c>
      <c r="X8" s="129" t="str">
        <f t="shared" si="5"/>
        <v/>
      </c>
    </row>
    <row r="9" spans="1:24" customFormat="1" ht="12.75" customHeight="1" x14ac:dyDescent="0.25">
      <c r="A9" s="150" t="s">
        <v>795</v>
      </c>
      <c r="B9" s="157"/>
      <c r="C9" s="158" t="s">
        <v>796</v>
      </c>
      <c r="D9" s="158"/>
      <c r="E9" s="159"/>
      <c r="F9" s="159"/>
      <c r="G9" s="160"/>
      <c r="H9" s="161">
        <v>0</v>
      </c>
      <c r="I9" s="161">
        <v>0</v>
      </c>
      <c r="J9" s="166">
        <v>0</v>
      </c>
      <c r="K9" s="491"/>
      <c r="L9" s="491"/>
      <c r="M9" s="164" t="str">
        <f>IF(OR(AND(SUM(Table_10_UK!H9)&lt;&gt;0,ISBLANK(Table_10_UK!K9))),"Fail", "Pass")</f>
        <v>Pass</v>
      </c>
      <c r="N9" s="164" t="s">
        <v>1318</v>
      </c>
      <c r="O9" s="129" t="str">
        <f t="shared" si="0"/>
        <v/>
      </c>
      <c r="P9" s="164" t="str">
        <f t="shared" si="1"/>
        <v>Pass</v>
      </c>
      <c r="Q9" s="129" t="s">
        <v>1319</v>
      </c>
      <c r="R9" s="129" t="str">
        <f t="shared" si="2"/>
        <v/>
      </c>
      <c r="S9" s="164" t="str">
        <f>IF(OR(AND(SUM(Table_10_UK!I9)&lt;&gt;0,ISBLANK(Table_10_UK!L9))),"Fail", "Pass")</f>
        <v>Pass</v>
      </c>
      <c r="T9" s="164" t="s">
        <v>1320</v>
      </c>
      <c r="U9" s="129" t="str">
        <f t="shared" si="3"/>
        <v/>
      </c>
      <c r="V9" s="164" t="str">
        <f t="shared" si="4"/>
        <v>Pass</v>
      </c>
      <c r="W9" s="129" t="s">
        <v>1321</v>
      </c>
      <c r="X9" s="129" t="str">
        <f t="shared" si="5"/>
        <v/>
      </c>
    </row>
    <row r="10" spans="1:24" customFormat="1" ht="12.75" customHeight="1" x14ac:dyDescent="0.25">
      <c r="A10" s="150" t="s">
        <v>797</v>
      </c>
      <c r="B10" s="157"/>
      <c r="C10" s="158" t="s">
        <v>798</v>
      </c>
      <c r="D10" s="158"/>
      <c r="E10" s="159"/>
      <c r="F10" s="159"/>
      <c r="G10" s="160"/>
      <c r="H10" s="161">
        <v>0</v>
      </c>
      <c r="I10" s="161">
        <v>0</v>
      </c>
      <c r="J10" s="166">
        <v>0</v>
      </c>
      <c r="K10" s="491"/>
      <c r="L10" s="491"/>
      <c r="M10" s="164" t="str">
        <f>IF(OR(AND(SUM(Table_10_UK!H10)&lt;&gt;0,ISBLANK(Table_10_UK!K10))),"Fail", "Pass")</f>
        <v>Pass</v>
      </c>
      <c r="N10" s="164" t="s">
        <v>1322</v>
      </c>
      <c r="O10" s="129" t="str">
        <f t="shared" si="0"/>
        <v/>
      </c>
      <c r="P10" s="164" t="str">
        <f t="shared" si="1"/>
        <v>Pass</v>
      </c>
      <c r="Q10" s="129" t="s">
        <v>1323</v>
      </c>
      <c r="R10" s="129" t="str">
        <f t="shared" si="2"/>
        <v/>
      </c>
      <c r="S10" s="164" t="str">
        <f>IF(OR(AND(SUM(Table_10_UK!I10)&lt;&gt;0,ISBLANK(Table_10_UK!L10))),"Fail", "Pass")</f>
        <v>Pass</v>
      </c>
      <c r="T10" s="164" t="s">
        <v>1324</v>
      </c>
      <c r="U10" s="129" t="str">
        <f t="shared" si="3"/>
        <v/>
      </c>
      <c r="V10" s="164" t="str">
        <f t="shared" si="4"/>
        <v>Pass</v>
      </c>
      <c r="W10" s="129" t="s">
        <v>1325</v>
      </c>
      <c r="X10" s="129" t="str">
        <f t="shared" si="5"/>
        <v/>
      </c>
    </row>
    <row r="11" spans="1:24" customFormat="1" ht="12.75" customHeight="1" x14ac:dyDescent="0.25">
      <c r="A11" s="150" t="s">
        <v>799</v>
      </c>
      <c r="B11" s="181"/>
      <c r="C11" s="175" t="s">
        <v>800</v>
      </c>
      <c r="D11" s="159"/>
      <c r="E11" s="159"/>
      <c r="F11" s="159"/>
      <c r="G11" s="160"/>
      <c r="H11" s="161">
        <v>0</v>
      </c>
      <c r="I11" s="161">
        <v>0</v>
      </c>
      <c r="J11" s="166">
        <v>0</v>
      </c>
      <c r="K11" s="492"/>
      <c r="L11" s="491"/>
      <c r="M11" s="164" t="str">
        <f>IF(OR(AND(SUM(Table_10_UK!H11)&lt;&gt;0,ISBLANK(Table_10_UK!K11))),"Fail", "Pass")</f>
        <v>Pass</v>
      </c>
      <c r="N11" s="164" t="s">
        <v>1326</v>
      </c>
      <c r="O11" s="129" t="str">
        <f t="shared" si="0"/>
        <v/>
      </c>
      <c r="P11" s="164" t="str">
        <f t="shared" si="1"/>
        <v>Pass</v>
      </c>
      <c r="Q11" s="129" t="s">
        <v>1327</v>
      </c>
      <c r="R11" s="129" t="str">
        <f t="shared" si="2"/>
        <v/>
      </c>
      <c r="S11" s="164" t="str">
        <f>IF(OR(AND(SUM(Table_10_UK!I11)&lt;&gt;0,ISBLANK(Table_10_UK!L11))),"Fail", "Pass")</f>
        <v>Pass</v>
      </c>
      <c r="T11" s="164" t="s">
        <v>1328</v>
      </c>
      <c r="U11" s="129" t="str">
        <f t="shared" si="3"/>
        <v/>
      </c>
      <c r="V11" s="164" t="str">
        <f t="shared" si="4"/>
        <v>Pass</v>
      </c>
      <c r="W11" s="129" t="s">
        <v>1329</v>
      </c>
      <c r="X11" s="129" t="str">
        <f t="shared" si="5"/>
        <v/>
      </c>
    </row>
    <row r="12" spans="1:24" customFormat="1" ht="12.75" customHeight="1" x14ac:dyDescent="0.25">
      <c r="A12" s="150" t="s">
        <v>801</v>
      </c>
      <c r="B12" s="169" t="s">
        <v>802</v>
      </c>
      <c r="C12" s="170"/>
      <c r="D12" s="170"/>
      <c r="E12" s="170"/>
      <c r="F12" s="170"/>
      <c r="G12" s="171"/>
      <c r="H12" s="172"/>
      <c r="I12" s="172"/>
      <c r="J12" s="172"/>
      <c r="K12" s="493"/>
      <c r="L12" s="493"/>
      <c r="N12" s="164"/>
      <c r="S12" s="164"/>
      <c r="T12" s="164"/>
      <c r="V12" s="164"/>
    </row>
    <row r="13" spans="1:24" customFormat="1" ht="12.75" customHeight="1" x14ac:dyDescent="0.25">
      <c r="A13" s="150"/>
      <c r="B13" s="174"/>
      <c r="C13" s="175"/>
      <c r="D13" s="175"/>
      <c r="E13" s="175"/>
      <c r="F13" s="175"/>
      <c r="G13" s="176"/>
      <c r="H13" s="177"/>
      <c r="I13" s="177"/>
      <c r="J13" s="177"/>
      <c r="K13" s="269"/>
      <c r="L13" s="269"/>
      <c r="N13" s="164"/>
      <c r="S13" s="164"/>
      <c r="T13" s="164"/>
      <c r="V13" s="164"/>
    </row>
    <row r="14" spans="1:24" customFormat="1" ht="12.75" customHeight="1" x14ac:dyDescent="0.25">
      <c r="A14" s="150">
        <v>2</v>
      </c>
      <c r="B14" s="151" t="s">
        <v>803</v>
      </c>
      <c r="C14" s="152"/>
      <c r="D14" s="152"/>
      <c r="E14" s="152"/>
      <c r="F14" s="152"/>
      <c r="G14" s="153"/>
      <c r="H14" s="178"/>
      <c r="I14" s="178"/>
      <c r="J14" s="178"/>
      <c r="K14" s="494"/>
      <c r="L14" s="494"/>
      <c r="N14" s="164"/>
      <c r="S14" s="164"/>
      <c r="T14" s="164"/>
      <c r="V14" s="164"/>
    </row>
    <row r="15" spans="1:24" customFormat="1" ht="12.75" customHeight="1" x14ac:dyDescent="0.25">
      <c r="A15" s="150" t="s">
        <v>804</v>
      </c>
      <c r="B15" s="157"/>
      <c r="C15" s="175" t="s">
        <v>805</v>
      </c>
      <c r="D15" s="159"/>
      <c r="E15" s="159"/>
      <c r="F15" s="159"/>
      <c r="G15" s="160"/>
      <c r="H15" s="161">
        <v>195209</v>
      </c>
      <c r="I15" s="161">
        <v>0</v>
      </c>
      <c r="J15" s="166">
        <v>0</v>
      </c>
      <c r="K15" s="606" t="s">
        <v>1673</v>
      </c>
      <c r="L15" s="491"/>
      <c r="M15" s="164" t="str">
        <f>IF(OR(AND(SUM(Table_10_UK!H15)&lt;&gt;0,ISBLANK(Table_10_UK!K15))),"Fail", "Pass")</f>
        <v>Pass</v>
      </c>
      <c r="N15" s="164" t="s">
        <v>1330</v>
      </c>
      <c r="O15" s="129" t="str">
        <f>IF(M15 = "Fail", N15, "")</f>
        <v/>
      </c>
      <c r="P15" s="164" t="str">
        <f>IF(AND(SUM(H15)=0,NOT(ISBLANK(K15))),"Fail","Pass")</f>
        <v>Pass</v>
      </c>
      <c r="Q15" s="129" t="s">
        <v>1331</v>
      </c>
      <c r="R15" s="129" t="str">
        <f>IF(P15 = "Fail", Q15, "")</f>
        <v/>
      </c>
      <c r="S15" s="164" t="str">
        <f>IF(OR(AND(SUM(Table_10_UK!I15)&lt;&gt;0,ISBLANK(Table_10_UK!L15))),"Fail", "Pass")</f>
        <v>Pass</v>
      </c>
      <c r="T15" s="164" t="s">
        <v>1332</v>
      </c>
      <c r="U15" s="129" t="str">
        <f>IF(S15 = "Fail", T15, "")</f>
        <v/>
      </c>
      <c r="V15" s="164" t="str">
        <f>IF(AND(SUM(I15)=0,NOT(ISBLANK(L15))),"Fail","Pass")</f>
        <v>Pass</v>
      </c>
      <c r="W15" s="129" t="s">
        <v>1333</v>
      </c>
      <c r="X15" s="129" t="str">
        <f>IF(V15 = "Fail", W15, "")</f>
        <v/>
      </c>
    </row>
    <row r="16" spans="1:24" customFormat="1" ht="12.75" customHeight="1" x14ac:dyDescent="0.25">
      <c r="A16" s="150" t="s">
        <v>806</v>
      </c>
      <c r="B16" s="157"/>
      <c r="C16" s="175" t="s">
        <v>807</v>
      </c>
      <c r="D16" s="159"/>
      <c r="E16" s="159"/>
      <c r="F16" s="159"/>
      <c r="G16" s="160"/>
      <c r="H16" s="161">
        <v>0</v>
      </c>
      <c r="I16" s="161">
        <v>0</v>
      </c>
      <c r="J16" s="166">
        <v>0</v>
      </c>
      <c r="K16" s="606"/>
      <c r="L16" s="491"/>
      <c r="M16" s="164" t="str">
        <f>IF(OR(AND(SUM(Table_10_UK!H16)&lt;&gt;0,ISBLANK(Table_10_UK!K16))),"Fail", "Pass")</f>
        <v>Pass</v>
      </c>
      <c r="N16" s="164" t="s">
        <v>1334</v>
      </c>
      <c r="O16" s="129" t="str">
        <f>IF(M16 = "Fail", N16, "")</f>
        <v/>
      </c>
      <c r="P16" s="164" t="str">
        <f>IF(AND(SUM(H16)=0,NOT(ISBLANK(K16))),"Fail","Pass")</f>
        <v>Pass</v>
      </c>
      <c r="Q16" s="129" t="s">
        <v>1335</v>
      </c>
      <c r="R16" s="129" t="str">
        <f>IF(P16 = "Fail", Q16, "")</f>
        <v/>
      </c>
      <c r="S16" s="164" t="str">
        <f>IF(OR(AND(SUM(Table_10_UK!I16)&lt;&gt;0,ISBLANK(Table_10_UK!L16))),"Fail", "Pass")</f>
        <v>Pass</v>
      </c>
      <c r="T16" s="164" t="s">
        <v>1336</v>
      </c>
      <c r="U16" s="129" t="str">
        <f>IF(S16 = "Fail", T16, "")</f>
        <v/>
      </c>
      <c r="V16" s="164" t="str">
        <f>IF(AND(SUM(I16)=0,NOT(ISBLANK(L16))),"Fail","Pass")</f>
        <v>Pass</v>
      </c>
      <c r="W16" s="129" t="s">
        <v>1337</v>
      </c>
      <c r="X16" s="129" t="str">
        <f>IF(V16 = "Fail", W16, "")</f>
        <v/>
      </c>
    </row>
    <row r="17" spans="1:24" customFormat="1" ht="12.75" customHeight="1" x14ac:dyDescent="0.25">
      <c r="A17" s="150" t="s">
        <v>808</v>
      </c>
      <c r="B17" s="180"/>
      <c r="C17" s="176" t="s">
        <v>809</v>
      </c>
      <c r="D17" s="159"/>
      <c r="E17" s="159"/>
      <c r="F17" s="159"/>
      <c r="G17" s="160"/>
      <c r="H17" s="161">
        <v>0</v>
      </c>
      <c r="I17" s="161">
        <v>0</v>
      </c>
      <c r="J17" s="166">
        <v>0</v>
      </c>
      <c r="K17" s="606"/>
      <c r="L17" s="491"/>
      <c r="M17" s="164" t="str">
        <f>IF(OR(AND(SUM(Table_10_UK!H17)&lt;&gt;0,ISBLANK(Table_10_UK!K17))),"Fail", "Pass")</f>
        <v>Pass</v>
      </c>
      <c r="N17" s="164" t="s">
        <v>1338</v>
      </c>
      <c r="O17" s="129" t="str">
        <f>IF(M17 = "Fail", N17, "")</f>
        <v/>
      </c>
      <c r="P17" s="164" t="str">
        <f>IF(AND(SUM(H17)=0,NOT(ISBLANK(K17))),"Fail","Pass")</f>
        <v>Pass</v>
      </c>
      <c r="Q17" s="129" t="s">
        <v>1339</v>
      </c>
      <c r="R17" s="129" t="str">
        <f>IF(P17 = "Fail", Q17, "")</f>
        <v/>
      </c>
      <c r="S17" s="164" t="str">
        <f>IF(OR(AND(SUM(Table_10_UK!I17)&lt;&gt;0,ISBLANK(Table_10_UK!L17))),"Fail", "Pass")</f>
        <v>Pass</v>
      </c>
      <c r="T17" s="164" t="s">
        <v>1340</v>
      </c>
      <c r="U17" s="129" t="str">
        <f>IF(S17 = "Fail", T17, "")</f>
        <v/>
      </c>
      <c r="V17" s="164" t="str">
        <f>IF(AND(SUM(I17)=0,NOT(ISBLANK(L17))),"Fail","Pass")</f>
        <v>Pass</v>
      </c>
      <c r="W17" s="129" t="s">
        <v>1341</v>
      </c>
      <c r="X17" s="129" t="str">
        <f>IF(V17 = "Fail", W17, "")</f>
        <v/>
      </c>
    </row>
    <row r="18" spans="1:24" customFormat="1" ht="12.75" customHeight="1" x14ac:dyDescent="0.25">
      <c r="A18" s="150" t="s">
        <v>810</v>
      </c>
      <c r="B18" s="157"/>
      <c r="C18" s="176" t="s">
        <v>811</v>
      </c>
      <c r="D18" s="159"/>
      <c r="E18" s="159"/>
      <c r="F18" s="159"/>
      <c r="G18" s="160"/>
      <c r="H18" s="161">
        <v>0</v>
      </c>
      <c r="I18" s="161">
        <v>0</v>
      </c>
      <c r="J18" s="166">
        <v>0</v>
      </c>
      <c r="K18" s="606"/>
      <c r="L18" s="491"/>
      <c r="M18" s="164" t="str">
        <f>IF(OR(AND(SUM(Table_10_UK!H18)&lt;&gt;0,ISBLANK(Table_10_UK!K18))),"Fail", "Pass")</f>
        <v>Pass</v>
      </c>
      <c r="N18" s="164" t="s">
        <v>1342</v>
      </c>
      <c r="O18" s="129" t="str">
        <f>IF(M18 = "Fail", N18, "")</f>
        <v/>
      </c>
      <c r="P18" s="164" t="str">
        <f>IF(AND(SUM(H18)=0,NOT(ISBLANK(K18))),"Fail","Pass")</f>
        <v>Pass</v>
      </c>
      <c r="Q18" s="129" t="s">
        <v>1343</v>
      </c>
      <c r="R18" s="129" t="str">
        <f>IF(P18 = "Fail", Q18, "")</f>
        <v/>
      </c>
      <c r="S18" s="164" t="str">
        <f>IF(OR(AND(SUM(Table_10_UK!I18)&lt;&gt;0,ISBLANK(Table_10_UK!L18))),"Fail", "Pass")</f>
        <v>Pass</v>
      </c>
      <c r="T18" s="164" t="s">
        <v>1344</v>
      </c>
      <c r="U18" s="129" t="str">
        <f>IF(S18 = "Fail", T18, "")</f>
        <v/>
      </c>
      <c r="V18" s="164" t="str">
        <f>IF(AND(SUM(I18)=0,NOT(ISBLANK(L18))),"Fail","Pass")</f>
        <v>Pass</v>
      </c>
      <c r="W18" s="129" t="s">
        <v>1345</v>
      </c>
      <c r="X18" s="129" t="str">
        <f>IF(V18 = "Fail", W18, "")</f>
        <v/>
      </c>
    </row>
    <row r="19" spans="1:24" customFormat="1" ht="12.75" customHeight="1" x14ac:dyDescent="0.25">
      <c r="A19" s="150" t="s">
        <v>812</v>
      </c>
      <c r="B19" s="180"/>
      <c r="C19" s="176" t="s">
        <v>813</v>
      </c>
      <c r="D19" s="159"/>
      <c r="E19" s="159"/>
      <c r="F19" s="159"/>
      <c r="G19" s="160"/>
      <c r="H19" s="161">
        <v>13784</v>
      </c>
      <c r="I19" s="161">
        <v>0</v>
      </c>
      <c r="J19" s="166">
        <v>0</v>
      </c>
      <c r="K19" s="606" t="s">
        <v>1674</v>
      </c>
      <c r="L19" s="491"/>
      <c r="M19" s="164" t="str">
        <f>IF(OR(AND(SUM(Table_10_UK!H19)&lt;&gt;0,ISBLANK(Table_10_UK!K19))),"Fail", "Pass")</f>
        <v>Pass</v>
      </c>
      <c r="N19" s="164" t="s">
        <v>1346</v>
      </c>
      <c r="O19" s="129" t="str">
        <f>IF(M19 = "Fail", N19, "")</f>
        <v/>
      </c>
      <c r="P19" s="164" t="str">
        <f>IF(AND(SUM(H19)=0,NOT(ISBLANK(K19))),"Fail","Pass")</f>
        <v>Pass</v>
      </c>
      <c r="Q19" s="129" t="s">
        <v>1347</v>
      </c>
      <c r="R19" s="129" t="str">
        <f>IF(P19 = "Fail", Q19, "")</f>
        <v/>
      </c>
      <c r="S19" s="164" t="str">
        <f>IF(OR(AND(SUM(Table_10_UK!I19)&lt;&gt;0,ISBLANK(Table_10_UK!L19))),"Fail", "Pass")</f>
        <v>Pass</v>
      </c>
      <c r="T19" s="164" t="s">
        <v>1348</v>
      </c>
      <c r="U19" s="129" t="str">
        <f>IF(S19 = "Fail", T19, "")</f>
        <v/>
      </c>
      <c r="V19" s="164" t="str">
        <f>IF(AND(SUM(I19)=0,NOT(ISBLANK(L19))),"Fail","Pass")</f>
        <v>Pass</v>
      </c>
      <c r="W19" s="129" t="s">
        <v>1349</v>
      </c>
      <c r="X19" s="129" t="str">
        <f>IF(V19 = "Fail", W19, "")</f>
        <v/>
      </c>
    </row>
    <row r="20" spans="1:24" customFormat="1" ht="12.75" customHeight="1" x14ac:dyDescent="0.25">
      <c r="A20" s="150" t="s">
        <v>814</v>
      </c>
      <c r="B20" s="169" t="s">
        <v>815</v>
      </c>
      <c r="C20" s="170"/>
      <c r="D20" s="170"/>
      <c r="E20" s="170"/>
      <c r="F20" s="170"/>
      <c r="G20" s="171"/>
      <c r="H20" s="172"/>
      <c r="I20" s="172"/>
      <c r="J20" s="172"/>
      <c r="K20" s="493"/>
      <c r="L20" s="493"/>
      <c r="N20" s="164"/>
      <c r="S20" s="164"/>
      <c r="T20" s="164"/>
      <c r="V20" s="164"/>
    </row>
    <row r="21" spans="1:24" customFormat="1" ht="12.75" customHeight="1" x14ac:dyDescent="0.25">
      <c r="A21" s="150"/>
      <c r="B21" s="181"/>
      <c r="C21" s="159"/>
      <c r="D21" s="159"/>
      <c r="E21" s="159"/>
      <c r="F21" s="159"/>
      <c r="G21" s="160"/>
      <c r="H21" s="182"/>
      <c r="I21" s="182"/>
      <c r="J21" s="182"/>
      <c r="K21" s="269"/>
      <c r="L21" s="269"/>
      <c r="N21" s="164"/>
      <c r="S21" s="164"/>
      <c r="T21" s="164"/>
      <c r="V21" s="164"/>
    </row>
    <row r="22" spans="1:24" customFormat="1" ht="25.5" customHeight="1" x14ac:dyDescent="0.25">
      <c r="A22" s="150">
        <v>3</v>
      </c>
      <c r="B22" s="648" t="s">
        <v>816</v>
      </c>
      <c r="C22" s="649"/>
      <c r="D22" s="649"/>
      <c r="E22" s="649"/>
      <c r="F22" s="649"/>
      <c r="G22" s="650"/>
      <c r="H22" s="172"/>
      <c r="I22" s="172"/>
      <c r="J22" s="172"/>
      <c r="K22" s="269"/>
      <c r="L22" s="269"/>
      <c r="N22" s="164"/>
      <c r="S22" s="164"/>
      <c r="T22" s="164"/>
      <c r="V22" s="164"/>
    </row>
    <row r="23" spans="1:24" customFormat="1" ht="12.75" customHeight="1" x14ac:dyDescent="0.25">
      <c r="A23" s="150"/>
      <c r="B23" s="174"/>
      <c r="C23" s="175"/>
      <c r="D23" s="175"/>
      <c r="E23" s="175"/>
      <c r="F23" s="175"/>
      <c r="G23" s="176"/>
      <c r="H23" s="177"/>
      <c r="I23" s="177"/>
      <c r="J23" s="177"/>
      <c r="K23" s="494"/>
      <c r="L23" s="494"/>
      <c r="N23" s="164"/>
      <c r="S23" s="164"/>
      <c r="T23" s="164"/>
      <c r="V23" s="164"/>
    </row>
    <row r="24" spans="1:24" customFormat="1" ht="12.75" customHeight="1" x14ac:dyDescent="0.25">
      <c r="A24" s="150">
        <v>4</v>
      </c>
      <c r="B24" s="187" t="s">
        <v>817</v>
      </c>
      <c r="C24" s="188"/>
      <c r="D24" s="188"/>
      <c r="E24" s="188"/>
      <c r="F24" s="188"/>
      <c r="G24" s="189"/>
      <c r="H24" s="161">
        <v>0</v>
      </c>
      <c r="I24" s="161">
        <v>0</v>
      </c>
      <c r="J24" s="166">
        <v>0</v>
      </c>
      <c r="K24" s="491"/>
      <c r="L24" s="491"/>
      <c r="M24" s="164" t="str">
        <f>IF(OR(AND(SUM(Table_10_UK!H24)&lt;&gt;0,ISBLANK(Table_10_UK!K24))),"Fail", "Pass")</f>
        <v>Pass</v>
      </c>
      <c r="N24" s="164" t="s">
        <v>1350</v>
      </c>
      <c r="O24" s="129" t="str">
        <f>IF(M24 = "Fail", N24, "")</f>
        <v/>
      </c>
      <c r="P24" s="164" t="str">
        <f>IF(AND(SUM(H24)=0,NOT(ISBLANK(K24))),"Fail","Pass")</f>
        <v>Pass</v>
      </c>
      <c r="Q24" s="129" t="s">
        <v>1351</v>
      </c>
      <c r="R24" s="129" t="str">
        <f>IF(P24 = "Fail", Q24, "")</f>
        <v/>
      </c>
      <c r="S24" s="164" t="str">
        <f>IF(OR(AND(SUM(Table_10_UK!I24)&lt;&gt;0,ISBLANK(Table_10_UK!L24))),"Fail", "Pass")</f>
        <v>Pass</v>
      </c>
      <c r="T24" s="164" t="s">
        <v>1352</v>
      </c>
      <c r="U24" s="129" t="str">
        <f>IF(S24 = "Fail", T24, "")</f>
        <v/>
      </c>
      <c r="V24" s="164" t="str">
        <f>IF(AND(SUM(I24)=0,NOT(ISBLANK(L24))),"Fail","Pass")</f>
        <v>Pass</v>
      </c>
      <c r="W24" s="129" t="s">
        <v>1353</v>
      </c>
      <c r="X24" s="129" t="str">
        <f>IF(V24 = "Fail", W24, "")</f>
        <v/>
      </c>
    </row>
    <row r="25" spans="1:24" customFormat="1" ht="12.75" customHeight="1" x14ac:dyDescent="0.25">
      <c r="A25" s="150">
        <v>5</v>
      </c>
      <c r="B25" s="187" t="s">
        <v>818</v>
      </c>
      <c r="C25" s="188"/>
      <c r="D25" s="188"/>
      <c r="E25" s="188"/>
      <c r="F25" s="188"/>
      <c r="G25" s="189"/>
      <c r="H25" s="161">
        <v>0</v>
      </c>
      <c r="I25" s="161">
        <v>0</v>
      </c>
      <c r="J25" s="166">
        <v>0</v>
      </c>
      <c r="K25" s="491"/>
      <c r="L25" s="491"/>
      <c r="M25" s="164" t="str">
        <f>IF(OR(AND(SUM(Table_10_UK!H25)&lt;&gt;0,ISBLANK(Table_10_UK!K25))),"Fail", "Pass")</f>
        <v>Pass</v>
      </c>
      <c r="N25" s="164" t="s">
        <v>1354</v>
      </c>
      <c r="O25" s="129" t="str">
        <f>IF(M25 = "Fail", N25, "")</f>
        <v/>
      </c>
      <c r="P25" s="164" t="str">
        <f>IF(AND(SUM(H25)=0,NOT(ISBLANK(K25))),"Fail","Pass")</f>
        <v>Pass</v>
      </c>
      <c r="Q25" s="129" t="s">
        <v>1355</v>
      </c>
      <c r="R25" s="129" t="str">
        <f>IF(P25 = "Fail", Q25, "")</f>
        <v/>
      </c>
      <c r="S25" s="164" t="str">
        <f>IF(OR(AND(SUM(Table_10_UK!I25)&lt;&gt;0,ISBLANK(Table_10_UK!L25))),"Fail", "Pass")</f>
        <v>Pass</v>
      </c>
      <c r="T25" s="164" t="s">
        <v>1356</v>
      </c>
      <c r="U25" s="129" t="str">
        <f>IF(S25 = "Fail", T25, "")</f>
        <v/>
      </c>
      <c r="V25" s="164" t="str">
        <f>IF(AND(SUM(I25)=0,NOT(ISBLANK(L25))),"Fail","Pass")</f>
        <v>Pass</v>
      </c>
      <c r="W25" s="129" t="s">
        <v>1357</v>
      </c>
      <c r="X25" s="129" t="str">
        <f>IF(V25 = "Fail", W25, "")</f>
        <v/>
      </c>
    </row>
    <row r="26" spans="1:24" customFormat="1" ht="12.75" customHeight="1" x14ac:dyDescent="0.25">
      <c r="A26" s="150">
        <v>6</v>
      </c>
      <c r="B26" s="174" t="s">
        <v>819</v>
      </c>
      <c r="C26" s="175"/>
      <c r="D26" s="175"/>
      <c r="E26" s="175"/>
      <c r="F26" s="175"/>
      <c r="G26" s="176"/>
      <c r="H26" s="161">
        <v>0</v>
      </c>
      <c r="I26" s="161">
        <v>0</v>
      </c>
      <c r="J26" s="166">
        <v>0</v>
      </c>
      <c r="K26" s="491"/>
      <c r="L26" s="491"/>
      <c r="M26" s="164" t="str">
        <f>IF(OR(AND(SUM(Table_10_UK!H26)&lt;&gt;0,ISBLANK(Table_10_UK!K26))),"Fail", "Pass")</f>
        <v>Pass</v>
      </c>
      <c r="N26" s="164" t="s">
        <v>1358</v>
      </c>
      <c r="O26" s="129" t="str">
        <f>IF(M26 = "Fail", N26, "")</f>
        <v/>
      </c>
      <c r="P26" s="164" t="str">
        <f>IF(AND(SUM(H26)=0,NOT(ISBLANK(K26))),"Fail","Pass")</f>
        <v>Pass</v>
      </c>
      <c r="Q26" s="129" t="s">
        <v>1359</v>
      </c>
      <c r="R26" s="129" t="str">
        <f>IF(P26 = "Fail", Q26, "")</f>
        <v/>
      </c>
      <c r="S26" s="164" t="str">
        <f>IF(OR(AND(SUM(Table_10_UK!I26)&lt;&gt;0,ISBLANK(Table_10_UK!L26))),"Fail", "Pass")</f>
        <v>Pass</v>
      </c>
      <c r="T26" s="164" t="s">
        <v>1360</v>
      </c>
      <c r="U26" s="129" t="str">
        <f>IF(S26 = "Fail", T26, "")</f>
        <v/>
      </c>
      <c r="V26" s="164" t="str">
        <f>IF(AND(SUM(I26)=0,NOT(ISBLANK(L26))),"Fail","Pass")</f>
        <v>Pass</v>
      </c>
      <c r="W26" s="129" t="s">
        <v>1361</v>
      </c>
      <c r="X26" s="129" t="str">
        <f>IF(V26 = "Fail", W26, "")</f>
        <v/>
      </c>
    </row>
    <row r="27" spans="1:24" customFormat="1" ht="12.75" customHeight="1" x14ac:dyDescent="0.25">
      <c r="A27" s="150">
        <v>7</v>
      </c>
      <c r="B27" s="174" t="s">
        <v>820</v>
      </c>
      <c r="C27" s="175"/>
      <c r="D27" s="175"/>
      <c r="E27" s="175"/>
      <c r="F27" s="175"/>
      <c r="G27" s="176"/>
      <c r="H27" s="161">
        <v>0</v>
      </c>
      <c r="I27" s="161">
        <v>0</v>
      </c>
      <c r="J27" s="166">
        <v>0</v>
      </c>
      <c r="K27" s="491"/>
      <c r="L27" s="491"/>
      <c r="M27" s="164" t="str">
        <f>IF(OR(AND(SUM(Table_10_UK!H27)&lt;&gt;0,ISBLANK(Table_10_UK!K27))),"Fail", "Pass")</f>
        <v>Pass</v>
      </c>
      <c r="N27" s="164" t="s">
        <v>1362</v>
      </c>
      <c r="O27" s="129" t="str">
        <f>IF(M27 = "Fail", N27, "")</f>
        <v/>
      </c>
      <c r="P27" s="164" t="str">
        <f>IF(AND(SUM(H27)=0,NOT(ISBLANK(K27))),"Fail","Pass")</f>
        <v>Pass</v>
      </c>
      <c r="Q27" s="129" t="s">
        <v>1363</v>
      </c>
      <c r="R27" s="129" t="str">
        <f>IF(P27 = "Fail", Q27, "")</f>
        <v/>
      </c>
      <c r="S27" s="164" t="str">
        <f>IF(OR(AND(SUM(Table_10_UK!I27)&lt;&gt;0,ISBLANK(Table_10_UK!L27))),"Fail", "Pass")</f>
        <v>Pass</v>
      </c>
      <c r="T27" s="164" t="s">
        <v>1364</v>
      </c>
      <c r="U27" s="129" t="str">
        <f>IF(S27 = "Fail", T27, "")</f>
        <v/>
      </c>
      <c r="V27" s="164" t="str">
        <f>IF(AND(SUM(I27)=0,NOT(ISBLANK(L27))),"Fail","Pass")</f>
        <v>Pass</v>
      </c>
      <c r="W27" s="129" t="s">
        <v>1365</v>
      </c>
      <c r="X27" s="129" t="str">
        <f>IF(V27 = "Fail", W27, "")</f>
        <v/>
      </c>
    </row>
    <row r="28" spans="1:24" customFormat="1" ht="12.75" customHeight="1" x14ac:dyDescent="0.25">
      <c r="A28" s="150"/>
      <c r="B28" s="174"/>
      <c r="C28" s="175"/>
      <c r="D28" s="175"/>
      <c r="E28" s="175"/>
      <c r="F28" s="175"/>
      <c r="G28" s="176"/>
      <c r="H28" s="177"/>
      <c r="I28" s="177"/>
      <c r="J28" s="177"/>
      <c r="K28" s="493"/>
      <c r="L28" s="493"/>
      <c r="N28" s="164"/>
      <c r="S28" s="164"/>
      <c r="T28" s="164"/>
      <c r="V28" s="164"/>
    </row>
    <row r="29" spans="1:24" customFormat="1" ht="12.75" customHeight="1" x14ac:dyDescent="0.25">
      <c r="A29" s="150">
        <v>8</v>
      </c>
      <c r="B29" s="169" t="s">
        <v>821</v>
      </c>
      <c r="C29" s="170"/>
      <c r="D29" s="170"/>
      <c r="E29" s="170"/>
      <c r="F29" s="170"/>
      <c r="G29" s="171"/>
      <c r="H29" s="172"/>
      <c r="I29" s="172"/>
      <c r="J29" s="172"/>
      <c r="K29" s="269"/>
      <c r="L29" s="269"/>
      <c r="N29" s="164"/>
      <c r="S29" s="164"/>
      <c r="T29" s="164"/>
      <c r="V29" s="164"/>
    </row>
    <row r="30" spans="1:24" customFormat="1" ht="12.75" customHeight="1" x14ac:dyDescent="0.25">
      <c r="A30" s="150"/>
      <c r="B30" s="191"/>
      <c r="C30" s="192"/>
      <c r="D30" s="192"/>
      <c r="E30" s="192"/>
      <c r="F30" s="192"/>
      <c r="G30" s="193"/>
      <c r="H30" s="177"/>
      <c r="I30" s="177"/>
      <c r="J30" s="177"/>
      <c r="K30" s="269"/>
      <c r="L30" s="269"/>
      <c r="N30" s="164"/>
      <c r="S30" s="164"/>
      <c r="T30" s="164"/>
      <c r="V30" s="164"/>
    </row>
    <row r="31" spans="1:24" customFormat="1" ht="12.75" customHeight="1" x14ac:dyDescent="0.25">
      <c r="A31" s="150">
        <v>9</v>
      </c>
      <c r="B31" s="152" t="s">
        <v>822</v>
      </c>
      <c r="C31" s="152"/>
      <c r="D31" s="152"/>
      <c r="E31" s="152"/>
      <c r="F31" s="152"/>
      <c r="G31" s="152"/>
      <c r="H31" s="152"/>
      <c r="I31" s="152"/>
      <c r="J31" s="152"/>
      <c r="K31" s="494"/>
      <c r="L31" s="494"/>
      <c r="N31" s="164"/>
      <c r="S31" s="164"/>
      <c r="T31" s="164"/>
      <c r="V31" s="164"/>
    </row>
    <row r="32" spans="1:24" customFormat="1" ht="12.75" customHeight="1" x14ac:dyDescent="0.25">
      <c r="A32" s="150" t="s">
        <v>1366</v>
      </c>
      <c r="B32" s="174"/>
      <c r="C32" s="175" t="s">
        <v>1367</v>
      </c>
      <c r="D32" s="175"/>
      <c r="E32" s="175"/>
      <c r="F32" s="175"/>
      <c r="G32" s="176"/>
      <c r="H32" s="161">
        <v>0</v>
      </c>
      <c r="I32" s="161">
        <v>0</v>
      </c>
      <c r="J32" s="166">
        <v>0</v>
      </c>
      <c r="K32" s="491"/>
      <c r="L32" s="491"/>
      <c r="M32" s="164" t="str">
        <f>IF(OR(AND(SUM(Table_10_UK!H32)&lt;&gt;0,ISBLANK(Table_10_UK!K32))),"Fail", "Pass")</f>
        <v>Pass</v>
      </c>
      <c r="N32" s="164" t="s">
        <v>1368</v>
      </c>
      <c r="O32" s="129" t="str">
        <f>IF(M32 = "Fail", N32, "")</f>
        <v/>
      </c>
      <c r="P32" s="164" t="str">
        <f>IF(AND(SUM(H32)=0,NOT(ISBLANK(K32))),"Fail","Pass")</f>
        <v>Pass</v>
      </c>
      <c r="Q32" s="129" t="s">
        <v>1369</v>
      </c>
      <c r="R32" s="129" t="str">
        <f>IF(P32 = "Fail", Q32, "")</f>
        <v/>
      </c>
      <c r="S32" s="164" t="str">
        <f>IF(OR(AND(SUM(Table_10_UK!I32)&lt;&gt;0,ISBLANK(Table_10_UK!L32))),"Fail", "Pass")</f>
        <v>Pass</v>
      </c>
      <c r="T32" s="164" t="s">
        <v>1370</v>
      </c>
      <c r="U32" s="129" t="str">
        <f>IF(S32 = "Fail", T32, "")</f>
        <v/>
      </c>
      <c r="V32" s="164" t="str">
        <f>IF(AND(SUM(I32)=0,NOT(ISBLANK(L32))),"Fail","Pass")</f>
        <v>Pass</v>
      </c>
      <c r="W32" s="129" t="s">
        <v>1371</v>
      </c>
      <c r="X32" s="129" t="str">
        <f>IF(V32 = "Fail", W32, "")</f>
        <v/>
      </c>
    </row>
    <row r="33" spans="1:24" customFormat="1" ht="12.75" customHeight="1" x14ac:dyDescent="0.25">
      <c r="A33" s="150" t="s">
        <v>1372</v>
      </c>
      <c r="B33" s="174"/>
      <c r="C33" s="175" t="s">
        <v>1373</v>
      </c>
      <c r="D33" s="175"/>
      <c r="E33" s="175"/>
      <c r="F33" s="175"/>
      <c r="G33" s="176"/>
      <c r="H33" s="161">
        <v>0</v>
      </c>
      <c r="I33" s="161">
        <v>0</v>
      </c>
      <c r="J33" s="166">
        <v>0</v>
      </c>
      <c r="K33" s="491"/>
      <c r="L33" s="491"/>
      <c r="M33" s="164" t="str">
        <f>IF(OR(AND(SUM(Table_10_UK!H33)&lt;&gt;0,ISBLANK(Table_10_UK!K33))),"Fail", "Pass")</f>
        <v>Pass</v>
      </c>
      <c r="N33" s="164" t="s">
        <v>1374</v>
      </c>
      <c r="O33" s="129" t="str">
        <f>IF(M33 = "Fail", N33, "")</f>
        <v/>
      </c>
      <c r="P33" s="164" t="str">
        <f>IF(AND(SUM(H33)=0,NOT(ISBLANK(K33))),"Fail","Pass")</f>
        <v>Pass</v>
      </c>
      <c r="Q33" s="129" t="s">
        <v>1375</v>
      </c>
      <c r="R33" s="129" t="str">
        <f>IF(P33 = "Fail", Q33, "")</f>
        <v/>
      </c>
      <c r="S33" s="164" t="str">
        <f>IF(OR(AND(SUM(Table_10_UK!I33)&lt;&gt;0,ISBLANK(Table_10_UK!L33))),"Fail", "Pass")</f>
        <v>Pass</v>
      </c>
      <c r="T33" s="164" t="s">
        <v>1376</v>
      </c>
      <c r="U33" s="129" t="str">
        <f>IF(S33 = "Fail", T33, "")</f>
        <v/>
      </c>
      <c r="V33" s="164" t="str">
        <f>IF(AND(SUM(I33)=0,NOT(ISBLANK(L33))),"Fail","Pass")</f>
        <v>Pass</v>
      </c>
      <c r="W33" s="129" t="s">
        <v>1377</v>
      </c>
      <c r="X33" s="129" t="str">
        <f>IF(V33 = "Fail", W33, "")</f>
        <v/>
      </c>
    </row>
    <row r="34" spans="1:24" customFormat="1" ht="12.75" customHeight="1" x14ac:dyDescent="0.25">
      <c r="A34" s="150" t="s">
        <v>1378</v>
      </c>
      <c r="B34" s="169" t="s">
        <v>1379</v>
      </c>
      <c r="C34" s="170"/>
      <c r="D34" s="170"/>
      <c r="E34" s="170"/>
      <c r="F34" s="170"/>
      <c r="G34" s="171"/>
      <c r="H34" s="172"/>
      <c r="I34" s="172"/>
      <c r="J34" s="172"/>
      <c r="K34" s="493"/>
      <c r="L34" s="493"/>
      <c r="N34" s="164"/>
      <c r="S34" s="164"/>
      <c r="T34" s="164"/>
      <c r="V34" s="164"/>
    </row>
    <row r="35" spans="1:24" customFormat="1" ht="12.75" customHeight="1" x14ac:dyDescent="0.25">
      <c r="A35" s="150"/>
      <c r="B35" s="174"/>
      <c r="C35" s="175"/>
      <c r="D35" s="175"/>
      <c r="E35" s="175"/>
      <c r="F35" s="175"/>
      <c r="G35" s="176"/>
      <c r="H35" s="177"/>
      <c r="I35" s="177"/>
      <c r="J35" s="177"/>
      <c r="K35" s="269"/>
      <c r="L35" s="269"/>
      <c r="N35" s="164"/>
      <c r="S35" s="164"/>
      <c r="T35" s="164"/>
      <c r="V35" s="164"/>
    </row>
    <row r="36" spans="1:24" customFormat="1" ht="12.75" customHeight="1" x14ac:dyDescent="0.25">
      <c r="A36" s="150">
        <v>10</v>
      </c>
      <c r="B36" s="169" t="s">
        <v>823</v>
      </c>
      <c r="C36" s="170"/>
      <c r="D36" s="170"/>
      <c r="E36" s="170"/>
      <c r="F36" s="170"/>
      <c r="G36" s="171"/>
      <c r="H36" s="172"/>
      <c r="I36" s="172"/>
      <c r="J36" s="172"/>
      <c r="K36" s="269"/>
      <c r="L36" s="269"/>
      <c r="N36" s="164"/>
      <c r="S36" s="164"/>
      <c r="T36" s="164"/>
      <c r="V36" s="164"/>
    </row>
    <row r="37" spans="1:24" customFormat="1" ht="12.75" customHeight="1" x14ac:dyDescent="0.25">
      <c r="A37" s="150"/>
      <c r="B37" s="174"/>
      <c r="C37" s="175"/>
      <c r="D37" s="175"/>
      <c r="E37" s="175"/>
      <c r="F37" s="175"/>
      <c r="G37" s="176"/>
      <c r="H37" s="177"/>
      <c r="I37" s="177"/>
      <c r="J37" s="177"/>
      <c r="K37" s="494"/>
      <c r="L37" s="494"/>
      <c r="N37" s="164"/>
      <c r="S37" s="164"/>
      <c r="T37" s="164"/>
      <c r="V37" s="164"/>
    </row>
    <row r="38" spans="1:24" customFormat="1" ht="12.75" customHeight="1" x14ac:dyDescent="0.25">
      <c r="A38" s="150">
        <v>11</v>
      </c>
      <c r="B38" s="174" t="s">
        <v>824</v>
      </c>
      <c r="C38" s="175"/>
      <c r="D38" s="175"/>
      <c r="E38" s="175"/>
      <c r="F38" s="175"/>
      <c r="G38" s="176"/>
      <c r="H38" s="161">
        <v>0</v>
      </c>
      <c r="I38" s="161">
        <v>0</v>
      </c>
      <c r="J38" s="166">
        <v>0</v>
      </c>
      <c r="K38" s="491"/>
      <c r="L38" s="491"/>
      <c r="M38" s="164" t="str">
        <f>IF(OR(AND(SUM(Table_10_UK!H38)&lt;&gt;0,ISBLANK(Table_10_UK!K38))),"Fail", "Pass")</f>
        <v>Pass</v>
      </c>
      <c r="N38" s="164" t="s">
        <v>1380</v>
      </c>
      <c r="O38" s="129" t="str">
        <f>IF(M38 = "Fail", N38, "")</f>
        <v/>
      </c>
      <c r="P38" s="164" t="str">
        <f>IF(AND(SUM(H38)=0,NOT(ISBLANK(K38))),"Fail","Pass")</f>
        <v>Pass</v>
      </c>
      <c r="Q38" s="129" t="s">
        <v>1381</v>
      </c>
      <c r="R38" s="129" t="str">
        <f>IF(P38 = "Fail", Q38, "")</f>
        <v/>
      </c>
      <c r="S38" s="164" t="str">
        <f>IF(OR(AND(SUM(Table_10_UK!I38)&lt;&gt;0,ISBLANK(Table_10_UK!L38))),"Fail", "Pass")</f>
        <v>Pass</v>
      </c>
      <c r="T38" s="164" t="s">
        <v>1382</v>
      </c>
      <c r="U38" s="129" t="str">
        <f>IF(S38 = "Fail", T38, "")</f>
        <v/>
      </c>
      <c r="V38" s="164" t="str">
        <f>IF(AND(SUM(I38)=0,NOT(ISBLANK(L38))),"Fail","Pass")</f>
        <v>Pass</v>
      </c>
      <c r="W38" s="129" t="s">
        <v>1383</v>
      </c>
      <c r="X38" s="129" t="str">
        <f>IF(V38 = "Fail", W38, "")</f>
        <v/>
      </c>
    </row>
    <row r="39" spans="1:24" customFormat="1" ht="12.75" customHeight="1" x14ac:dyDescent="0.25">
      <c r="A39" s="150">
        <v>12</v>
      </c>
      <c r="B39" s="174" t="s">
        <v>825</v>
      </c>
      <c r="C39" s="175"/>
      <c r="D39" s="175"/>
      <c r="E39" s="175"/>
      <c r="F39" s="175"/>
      <c r="G39" s="176"/>
      <c r="H39" s="161">
        <v>0</v>
      </c>
      <c r="I39" s="161">
        <v>0</v>
      </c>
      <c r="J39" s="166">
        <v>0</v>
      </c>
      <c r="K39" s="491"/>
      <c r="L39" s="491"/>
      <c r="M39" s="164" t="str">
        <f>IF(OR(AND(SUM(Table_10_UK!H39)&lt;&gt;0,ISBLANK(Table_10_UK!K39))),"Fail", "Pass")</f>
        <v>Pass</v>
      </c>
      <c r="N39" s="164" t="s">
        <v>1384</v>
      </c>
      <c r="O39" s="129" t="str">
        <f>IF(M39 = "Fail", N39, "")</f>
        <v/>
      </c>
      <c r="P39" s="164" t="str">
        <f>IF(AND(SUM(H39)=0,NOT(ISBLANK(K39))),"Fail","Pass")</f>
        <v>Pass</v>
      </c>
      <c r="Q39" s="129" t="s">
        <v>1385</v>
      </c>
      <c r="R39" s="129" t="str">
        <f>IF(P39 = "Fail", Q39, "")</f>
        <v/>
      </c>
      <c r="S39" s="164" t="str">
        <f>IF(OR(AND(SUM(Table_10_UK!I39)&lt;&gt;0,ISBLANK(Table_10_UK!L39))),"Fail", "Pass")</f>
        <v>Pass</v>
      </c>
      <c r="T39" s="164" t="s">
        <v>1386</v>
      </c>
      <c r="U39" s="129" t="str">
        <f>IF(S39 = "Fail", T39, "")</f>
        <v/>
      </c>
      <c r="V39" s="164" t="str">
        <f>IF(AND(SUM(I39)=0,NOT(ISBLANK(L39))),"Fail","Pass")</f>
        <v>Pass</v>
      </c>
      <c r="W39" s="129" t="s">
        <v>1387</v>
      </c>
      <c r="X39" s="129" t="str">
        <f>IF(V39 = "Fail", W39, "")</f>
        <v/>
      </c>
    </row>
    <row r="40" spans="1:24" customFormat="1" ht="12.75" customHeight="1" x14ac:dyDescent="0.25">
      <c r="A40" s="150">
        <v>13</v>
      </c>
      <c r="B40" s="174" t="s">
        <v>1388</v>
      </c>
      <c r="C40" s="175"/>
      <c r="D40" s="175"/>
      <c r="E40" s="175"/>
      <c r="F40" s="175"/>
      <c r="G40" s="176"/>
      <c r="H40" s="161">
        <v>0</v>
      </c>
      <c r="I40" s="161">
        <v>0</v>
      </c>
      <c r="J40" s="166">
        <v>0</v>
      </c>
      <c r="K40" s="491"/>
      <c r="L40" s="491"/>
      <c r="M40" s="164" t="str">
        <f>IF(OR(AND(SUM(Table_10_UK!H40)&lt;&gt;0,ISBLANK(Table_10_UK!K40))),"Fail", "Pass")</f>
        <v>Pass</v>
      </c>
      <c r="N40" s="164" t="s">
        <v>1389</v>
      </c>
      <c r="O40" s="129" t="str">
        <f>IF(M40 = "Fail", N40, "")</f>
        <v/>
      </c>
      <c r="P40" s="164" t="str">
        <f>IF(AND(SUM(H40)=0,NOT(ISBLANK(K40))),"Fail","Pass")</f>
        <v>Pass</v>
      </c>
      <c r="Q40" s="129" t="s">
        <v>1390</v>
      </c>
      <c r="R40" s="129" t="str">
        <f>IF(P40 = "Fail", Q40, "")</f>
        <v/>
      </c>
      <c r="S40" s="164" t="str">
        <f>IF(OR(AND(SUM(Table_10_UK!I40)&lt;&gt;0,ISBLANK(Table_10_UK!L40))),"Fail", "Pass")</f>
        <v>Pass</v>
      </c>
      <c r="T40" s="164" t="s">
        <v>1391</v>
      </c>
      <c r="U40" s="129" t="str">
        <f>IF(S40 = "Fail", T40, "")</f>
        <v/>
      </c>
      <c r="V40" s="164" t="str">
        <f>IF(AND(SUM(I40)=0,NOT(ISBLANK(L40))),"Fail","Pass")</f>
        <v>Pass</v>
      </c>
      <c r="W40" s="129" t="s">
        <v>1392</v>
      </c>
      <c r="X40" s="129" t="str">
        <f>IF(V40 = "Fail", W40, "")</f>
        <v/>
      </c>
    </row>
    <row r="41" spans="1:24" customFormat="1" ht="12.75" customHeight="1" x14ac:dyDescent="0.25">
      <c r="A41" s="150">
        <v>14</v>
      </c>
      <c r="B41" s="174" t="s">
        <v>828</v>
      </c>
      <c r="C41" s="175"/>
      <c r="D41" s="175"/>
      <c r="E41" s="175"/>
      <c r="F41" s="175"/>
      <c r="G41" s="176"/>
      <c r="H41" s="161">
        <v>0</v>
      </c>
      <c r="I41" s="161">
        <v>0</v>
      </c>
      <c r="J41" s="166">
        <v>0</v>
      </c>
      <c r="K41" s="491"/>
      <c r="L41" s="491"/>
      <c r="M41" s="164" t="str">
        <f>IF(OR(AND(SUM(Table_10_UK!H41)&lt;&gt;0,ISBLANK(Table_10_UK!K41))),"Fail", "Pass")</f>
        <v>Pass</v>
      </c>
      <c r="N41" s="164" t="s">
        <v>1393</v>
      </c>
      <c r="O41" s="129" t="str">
        <f>IF(M41 = "Fail", N41, "")</f>
        <v/>
      </c>
      <c r="P41" s="164" t="str">
        <f>IF(AND(SUM(H41)=0,NOT(ISBLANK(K41))),"Fail","Pass")</f>
        <v>Pass</v>
      </c>
      <c r="Q41" s="129" t="s">
        <v>1394</v>
      </c>
      <c r="R41" s="129" t="str">
        <f>IF(P41 = "Fail", Q41, "")</f>
        <v/>
      </c>
      <c r="S41" s="164" t="str">
        <f>IF(OR(AND(SUM(Table_10_UK!I41)&lt;&gt;0,ISBLANK(Table_10_UK!L41))),"Fail", "Pass")</f>
        <v>Pass</v>
      </c>
      <c r="T41" s="164" t="s">
        <v>1395</v>
      </c>
      <c r="U41" s="129" t="str">
        <f>IF(S41 = "Fail", T41, "")</f>
        <v/>
      </c>
      <c r="V41" s="164" t="str">
        <f>IF(AND(SUM(I41)=0,NOT(ISBLANK(L41))),"Fail","Pass")</f>
        <v>Pass</v>
      </c>
      <c r="W41" s="129" t="s">
        <v>1396</v>
      </c>
      <c r="X41" s="129" t="str">
        <f>IF(V41 = "Fail", W41, "")</f>
        <v/>
      </c>
    </row>
    <row r="42" spans="1:24" customFormat="1" ht="12.75" customHeight="1" x14ac:dyDescent="0.25">
      <c r="A42" s="150"/>
      <c r="B42" s="174"/>
      <c r="C42" s="175"/>
      <c r="D42" s="175"/>
      <c r="E42" s="175"/>
      <c r="F42" s="175"/>
      <c r="G42" s="176"/>
      <c r="H42" s="177"/>
      <c r="I42" s="177"/>
      <c r="J42" s="177"/>
      <c r="K42" s="493"/>
      <c r="L42" s="493"/>
      <c r="N42" s="164"/>
      <c r="S42" s="164"/>
      <c r="T42" s="164"/>
      <c r="V42" s="164"/>
    </row>
    <row r="43" spans="1:24" customFormat="1" ht="12.75" customHeight="1" x14ac:dyDescent="0.25">
      <c r="A43" s="150">
        <v>15</v>
      </c>
      <c r="B43" s="169" t="s">
        <v>829</v>
      </c>
      <c r="C43" s="170"/>
      <c r="D43" s="170"/>
      <c r="E43" s="170"/>
      <c r="F43" s="170"/>
      <c r="G43" s="171"/>
      <c r="H43" s="172"/>
      <c r="I43" s="172"/>
      <c r="J43" s="172"/>
      <c r="K43" s="269"/>
      <c r="L43" s="269"/>
      <c r="N43" s="164"/>
      <c r="S43" s="164"/>
      <c r="T43" s="164"/>
      <c r="V43" s="164"/>
    </row>
    <row r="44" spans="1:24" customFormat="1" ht="12.75" customHeight="1" x14ac:dyDescent="0.25">
      <c r="A44" s="150"/>
      <c r="B44" s="174"/>
      <c r="C44" s="175"/>
      <c r="D44" s="175"/>
      <c r="E44" s="175"/>
      <c r="F44" s="175"/>
      <c r="G44" s="176"/>
      <c r="H44" s="177"/>
      <c r="I44" s="177"/>
      <c r="J44" s="177"/>
      <c r="K44" s="269"/>
      <c r="L44" s="269"/>
      <c r="N44" s="164"/>
      <c r="S44" s="164"/>
      <c r="T44" s="164"/>
      <c r="V44" s="164"/>
    </row>
    <row r="45" spans="1:24" customFormat="1" ht="12.75" customHeight="1" x14ac:dyDescent="0.25">
      <c r="A45" s="150">
        <v>16</v>
      </c>
      <c r="B45" s="151" t="s">
        <v>830</v>
      </c>
      <c r="C45" s="152"/>
      <c r="D45" s="152"/>
      <c r="E45" s="152"/>
      <c r="F45" s="152"/>
      <c r="G45" s="153"/>
      <c r="H45" s="178"/>
      <c r="I45" s="178"/>
      <c r="J45" s="178"/>
      <c r="K45" s="494"/>
      <c r="L45" s="494"/>
      <c r="N45" s="164"/>
      <c r="S45" s="164"/>
      <c r="T45" s="164"/>
      <c r="V45" s="164"/>
    </row>
    <row r="46" spans="1:24" customFormat="1" ht="12.75" customHeight="1" x14ac:dyDescent="0.25">
      <c r="A46" s="150" t="s">
        <v>831</v>
      </c>
      <c r="B46" s="174"/>
      <c r="C46" s="175" t="s">
        <v>832</v>
      </c>
      <c r="D46" s="175"/>
      <c r="E46" s="175"/>
      <c r="F46" s="175"/>
      <c r="G46" s="176"/>
      <c r="H46" s="161">
        <v>0</v>
      </c>
      <c r="I46" s="161">
        <v>0</v>
      </c>
      <c r="J46" s="166">
        <v>0</v>
      </c>
      <c r="K46" s="491"/>
      <c r="L46" s="491"/>
      <c r="M46" s="164" t="str">
        <f>IF(OR(AND(SUM(Table_10_UK!H46)&lt;&gt;0,ISBLANK(Table_10_UK!K46))),"Fail", "Pass")</f>
        <v>Pass</v>
      </c>
      <c r="N46" s="164" t="s">
        <v>1397</v>
      </c>
      <c r="O46" s="129" t="str">
        <f>IF(M46 = "Fail", N46, "")</f>
        <v/>
      </c>
      <c r="P46" s="164" t="str">
        <f>IF(AND(SUM(H46)=0,NOT(ISBLANK(K46))),"Fail","Pass")</f>
        <v>Pass</v>
      </c>
      <c r="Q46" s="129" t="s">
        <v>1398</v>
      </c>
      <c r="R46" s="129" t="str">
        <f>IF(P46 = "Fail", Q46, "")</f>
        <v/>
      </c>
      <c r="S46" s="164" t="str">
        <f>IF(OR(AND(SUM(Table_10_UK!I46)&lt;&gt;0,ISBLANK(Table_10_UK!L46))),"Fail", "Pass")</f>
        <v>Pass</v>
      </c>
      <c r="T46" s="164" t="s">
        <v>1399</v>
      </c>
      <c r="U46" s="129" t="str">
        <f>IF(S46 = "Fail", T46, "")</f>
        <v/>
      </c>
      <c r="V46" s="164" t="str">
        <f>IF(AND(SUM(I46)=0,NOT(ISBLANK(L46))),"Fail","Pass")</f>
        <v>Pass</v>
      </c>
      <c r="W46" s="129" t="s">
        <v>1400</v>
      </c>
      <c r="X46" s="129" t="str">
        <f>IF(V46 = "Fail", W46, "")</f>
        <v/>
      </c>
    </row>
    <row r="47" spans="1:24" customFormat="1" ht="12.75" customHeight="1" x14ac:dyDescent="0.25">
      <c r="A47" s="150" t="s">
        <v>833</v>
      </c>
      <c r="B47" s="174"/>
      <c r="C47" s="175" t="s">
        <v>834</v>
      </c>
      <c r="D47" s="175"/>
      <c r="E47" s="175"/>
      <c r="F47" s="175"/>
      <c r="G47" s="176"/>
      <c r="H47" s="161">
        <v>0</v>
      </c>
      <c r="I47" s="161">
        <v>0</v>
      </c>
      <c r="J47" s="166">
        <v>0</v>
      </c>
      <c r="K47" s="491"/>
      <c r="L47" s="491"/>
      <c r="M47" s="164" t="str">
        <f>IF(OR(AND(SUM(Table_10_UK!H47)&lt;&gt;0,ISBLANK(Table_10_UK!K47))),"Fail", "Pass")</f>
        <v>Pass</v>
      </c>
      <c r="N47" s="164" t="s">
        <v>1401</v>
      </c>
      <c r="O47" s="129" t="str">
        <f>IF(M47 = "Fail", N47, "")</f>
        <v/>
      </c>
      <c r="P47" s="164" t="str">
        <f>IF(AND(SUM(H47)=0,NOT(ISBLANK(K47))),"Fail","Pass")</f>
        <v>Pass</v>
      </c>
      <c r="Q47" s="129" t="s">
        <v>1402</v>
      </c>
      <c r="R47" s="129" t="str">
        <f>IF(P47 = "Fail", Q47, "")</f>
        <v/>
      </c>
      <c r="S47" s="164" t="str">
        <f>IF(OR(AND(SUM(Table_10_UK!I47)&lt;&gt;0,ISBLANK(Table_10_UK!L47))),"Fail", "Pass")</f>
        <v>Pass</v>
      </c>
      <c r="T47" s="164" t="s">
        <v>1403</v>
      </c>
      <c r="U47" s="129" t="str">
        <f>IF(S47 = "Fail", T47, "")</f>
        <v/>
      </c>
      <c r="V47" s="164" t="str">
        <f>IF(AND(SUM(I47)=0,NOT(ISBLANK(L47))),"Fail","Pass")</f>
        <v>Pass</v>
      </c>
      <c r="W47" s="129" t="s">
        <v>1404</v>
      </c>
      <c r="X47" s="129" t="str">
        <f>IF(V47 = "Fail", W47, "")</f>
        <v/>
      </c>
    </row>
    <row r="48" spans="1:24" customFormat="1" ht="12.75" customHeight="1" x14ac:dyDescent="0.25">
      <c r="A48" s="150" t="s">
        <v>835</v>
      </c>
      <c r="B48" s="174"/>
      <c r="C48" s="175" t="s">
        <v>836</v>
      </c>
      <c r="D48" s="175"/>
      <c r="E48" s="175"/>
      <c r="F48" s="175"/>
      <c r="G48" s="176"/>
      <c r="H48" s="161">
        <v>0</v>
      </c>
      <c r="I48" s="161">
        <v>0</v>
      </c>
      <c r="J48" s="166">
        <v>0</v>
      </c>
      <c r="K48" s="491"/>
      <c r="L48" s="491"/>
      <c r="M48" s="164" t="str">
        <f>IF(OR(AND(SUM(Table_10_UK!H48)&lt;&gt;0,ISBLANK(Table_10_UK!K48))),"Fail", "Pass")</f>
        <v>Pass</v>
      </c>
      <c r="N48" s="164" t="s">
        <v>1405</v>
      </c>
      <c r="O48" s="129" t="str">
        <f>IF(M48 = "Fail", N48, "")</f>
        <v/>
      </c>
      <c r="P48" s="164" t="str">
        <f>IF(AND(SUM(H48)=0,NOT(ISBLANK(K48))),"Fail","Pass")</f>
        <v>Pass</v>
      </c>
      <c r="Q48" s="129" t="s">
        <v>1406</v>
      </c>
      <c r="R48" s="129" t="str">
        <f>IF(P48 = "Fail", Q48, "")</f>
        <v/>
      </c>
      <c r="S48" s="164" t="str">
        <f>IF(OR(AND(SUM(Table_10_UK!I48)&lt;&gt;0,ISBLANK(Table_10_UK!L48))),"Fail", "Pass")</f>
        <v>Pass</v>
      </c>
      <c r="T48" s="164" t="s">
        <v>1407</v>
      </c>
      <c r="U48" s="129" t="str">
        <f>IF(S48 = "Fail", T48, "")</f>
        <v/>
      </c>
      <c r="V48" s="164" t="str">
        <f>IF(AND(SUM(I48)=0,NOT(ISBLANK(L48))),"Fail","Pass")</f>
        <v>Pass</v>
      </c>
      <c r="W48" s="129" t="s">
        <v>1408</v>
      </c>
      <c r="X48" s="129" t="str">
        <f>IF(V48 = "Fail", W48, "")</f>
        <v/>
      </c>
    </row>
    <row r="49" spans="1:24" customFormat="1" ht="12.75" customHeight="1" x14ac:dyDescent="0.25">
      <c r="A49" s="150" t="s">
        <v>837</v>
      </c>
      <c r="B49" s="174"/>
      <c r="C49" s="175" t="s">
        <v>1409</v>
      </c>
      <c r="D49" s="175"/>
      <c r="E49" s="175"/>
      <c r="F49" s="175"/>
      <c r="G49" s="176"/>
      <c r="H49" s="161">
        <v>0</v>
      </c>
      <c r="I49" s="161">
        <v>0</v>
      </c>
      <c r="J49" s="166">
        <v>0</v>
      </c>
      <c r="K49" s="491"/>
      <c r="L49" s="491"/>
      <c r="M49" s="164" t="str">
        <f>IF(OR(AND(SUM(Table_10_UK!H49)&lt;&gt;0,ISBLANK(Table_10_UK!K49))),"Fail", "Pass")</f>
        <v>Pass</v>
      </c>
      <c r="N49" s="164" t="s">
        <v>1410</v>
      </c>
      <c r="O49" s="129" t="str">
        <f>IF(M49 = "Fail", N49, "")</f>
        <v/>
      </c>
      <c r="P49" s="164" t="str">
        <f>IF(AND(SUM(H49)=0,NOT(ISBLANK(K49))),"Fail","Pass")</f>
        <v>Pass</v>
      </c>
      <c r="Q49" s="129" t="s">
        <v>1411</v>
      </c>
      <c r="R49" s="129" t="str">
        <f>IF(P49 = "Fail", Q49, "")</f>
        <v/>
      </c>
      <c r="S49" s="164" t="str">
        <f>IF(OR(AND(SUM(Table_10_UK!I49)&lt;&gt;0,ISBLANK(Table_10_UK!L49))),"Fail", "Pass")</f>
        <v>Pass</v>
      </c>
      <c r="T49" s="164" t="s">
        <v>1412</v>
      </c>
      <c r="U49" s="129" t="str">
        <f>IF(S49 = "Fail", T49, "")</f>
        <v/>
      </c>
      <c r="V49" s="164" t="str">
        <f>IF(AND(SUM(I49)=0,NOT(ISBLANK(L49))),"Fail","Pass")</f>
        <v>Pass</v>
      </c>
      <c r="W49" s="129" t="s">
        <v>1413</v>
      </c>
      <c r="X49" s="129" t="str">
        <f>IF(V49 = "Fail", W49, "")</f>
        <v/>
      </c>
    </row>
    <row r="50" spans="1:24" customFormat="1" ht="12.75" customHeight="1" x14ac:dyDescent="0.25">
      <c r="A50" s="150" t="s">
        <v>839</v>
      </c>
      <c r="B50" s="174"/>
      <c r="C50" s="175" t="s">
        <v>840</v>
      </c>
      <c r="D50" s="175"/>
      <c r="E50" s="175"/>
      <c r="F50" s="175"/>
      <c r="G50" s="176"/>
      <c r="H50" s="197"/>
      <c r="I50" s="197"/>
      <c r="J50" s="197"/>
      <c r="K50" s="493"/>
      <c r="L50" s="493"/>
      <c r="N50" s="164"/>
      <c r="S50" s="164"/>
      <c r="T50" s="164"/>
      <c r="V50" s="164"/>
    </row>
    <row r="51" spans="1:24" customFormat="1" ht="12.75" customHeight="1" x14ac:dyDescent="0.25">
      <c r="A51" s="150" t="s">
        <v>841</v>
      </c>
      <c r="B51" s="174"/>
      <c r="C51" s="175" t="s">
        <v>842</v>
      </c>
      <c r="D51" s="175"/>
      <c r="E51" s="175"/>
      <c r="F51" s="175"/>
      <c r="G51" s="176"/>
      <c r="H51" s="161">
        <v>0</v>
      </c>
      <c r="I51" s="161">
        <v>0</v>
      </c>
      <c r="J51" s="166">
        <v>0</v>
      </c>
      <c r="K51" s="491"/>
      <c r="L51" s="491"/>
      <c r="M51" s="164" t="str">
        <f>IF(OR(AND(SUM(Table_10_UK!H51)&lt;&gt;0,ISBLANK(Table_10_UK!K51))),"Fail", "Pass")</f>
        <v>Pass</v>
      </c>
      <c r="N51" s="164" t="s">
        <v>1414</v>
      </c>
      <c r="O51" s="129" t="str">
        <f>IF(M51 = "Fail", N51, "")</f>
        <v/>
      </c>
      <c r="P51" s="164" t="str">
        <f>IF(AND(SUM(H51)=0,NOT(ISBLANK(K51))),"Fail","Pass")</f>
        <v>Pass</v>
      </c>
      <c r="Q51" s="129" t="s">
        <v>1415</v>
      </c>
      <c r="R51" s="129" t="str">
        <f>IF(P51 = "Fail", Q51, "")</f>
        <v/>
      </c>
      <c r="S51" s="164" t="str">
        <f>IF(OR(AND(SUM(Table_10_UK!I51)&lt;&gt;0,ISBLANK(Table_10_UK!L51))),"Fail", "Pass")</f>
        <v>Pass</v>
      </c>
      <c r="T51" s="164" t="s">
        <v>1416</v>
      </c>
      <c r="U51" s="129" t="str">
        <f>IF(S51 = "Fail", T51, "")</f>
        <v/>
      </c>
      <c r="V51" s="164" t="str">
        <f>IF(AND(SUM(I51)=0,NOT(ISBLANK(L51))),"Fail","Pass")</f>
        <v>Pass</v>
      </c>
      <c r="W51" s="129" t="s">
        <v>1417</v>
      </c>
      <c r="X51" s="129" t="str">
        <f>IF(V51 = "Fail", W51, "")</f>
        <v/>
      </c>
    </row>
    <row r="52" spans="1:24" customFormat="1" ht="12.75" customHeight="1" x14ac:dyDescent="0.25">
      <c r="A52" s="150" t="s">
        <v>843</v>
      </c>
      <c r="B52" s="170" t="s">
        <v>844</v>
      </c>
      <c r="C52" s="170"/>
      <c r="D52" s="170"/>
      <c r="E52" s="170"/>
      <c r="F52" s="170"/>
      <c r="G52" s="170"/>
      <c r="H52" s="495"/>
      <c r="I52" s="275"/>
      <c r="J52" s="198"/>
      <c r="K52" s="269"/>
      <c r="L52" s="269"/>
      <c r="N52" s="164"/>
      <c r="S52" s="164"/>
      <c r="T52" s="164"/>
      <c r="V52" s="164"/>
    </row>
    <row r="53" spans="1:24" x14ac:dyDescent="0.2">
      <c r="A53" s="150"/>
      <c r="B53" s="174"/>
      <c r="C53" s="175"/>
      <c r="D53" s="175"/>
      <c r="E53" s="175"/>
      <c r="F53" s="175"/>
      <c r="G53" s="176"/>
      <c r="H53" s="196"/>
      <c r="I53" s="196"/>
      <c r="J53" s="196"/>
      <c r="K53" s="269"/>
      <c r="L53" s="269"/>
      <c r="N53" s="164"/>
      <c r="S53" s="164"/>
      <c r="T53" s="164"/>
      <c r="V53" s="164"/>
    </row>
    <row r="54" spans="1:24" x14ac:dyDescent="0.2">
      <c r="A54" s="150">
        <v>17</v>
      </c>
      <c r="B54" s="151" t="s">
        <v>1418</v>
      </c>
      <c r="C54" s="152"/>
      <c r="D54" s="152"/>
      <c r="E54" s="152"/>
      <c r="F54" s="152"/>
      <c r="G54" s="153"/>
      <c r="H54" s="178"/>
      <c r="I54" s="178"/>
      <c r="J54" s="178"/>
      <c r="K54" s="269"/>
      <c r="L54" s="269"/>
      <c r="N54" s="164"/>
      <c r="S54" s="164"/>
      <c r="T54" s="164"/>
      <c r="V54" s="164"/>
    </row>
    <row r="55" spans="1:24" x14ac:dyDescent="0.2">
      <c r="A55" s="150" t="s">
        <v>846</v>
      </c>
      <c r="B55" s="174"/>
      <c r="C55" s="175" t="s">
        <v>847</v>
      </c>
      <c r="D55" s="175"/>
      <c r="E55" s="175"/>
      <c r="F55" s="175"/>
      <c r="G55" s="176"/>
      <c r="H55" s="161">
        <v>0</v>
      </c>
      <c r="I55" s="161">
        <v>0</v>
      </c>
      <c r="J55" s="166">
        <v>0</v>
      </c>
      <c r="K55" s="491"/>
      <c r="L55" s="491"/>
      <c r="M55" s="164" t="str">
        <f>IF(OR(AND(SUM(Table_10_UK!H55)&lt;&gt;0,ISBLANK(Table_10_UK!K55))),"Fail", "Pass")</f>
        <v>Pass</v>
      </c>
      <c r="N55" s="164" t="s">
        <v>1419</v>
      </c>
      <c r="O55" s="129" t="str">
        <f>IF(M55 = "Fail", N55, "")</f>
        <v/>
      </c>
      <c r="P55" s="164" t="str">
        <f>IF(AND(SUM(H55)=0,NOT(ISBLANK(K55))),"Fail","Pass")</f>
        <v>Pass</v>
      </c>
      <c r="Q55" s="129" t="s">
        <v>1420</v>
      </c>
      <c r="R55" s="129" t="str">
        <f>IF(P55 = "Fail", Q55, "")</f>
        <v/>
      </c>
      <c r="S55" s="164" t="str">
        <f>IF(OR(AND(SUM(Table_10_UK!I55)&lt;&gt;0,ISBLANK(Table_10_UK!L55))),"Fail", "Pass")</f>
        <v>Pass</v>
      </c>
      <c r="T55" s="164" t="s">
        <v>1421</v>
      </c>
      <c r="U55" s="129" t="str">
        <f>IF(S55 = "Fail", T55, "")</f>
        <v/>
      </c>
      <c r="V55" s="164" t="str">
        <f>IF(AND(SUM(I55)=0,NOT(ISBLANK(L55))),"Fail","Pass")</f>
        <v>Pass</v>
      </c>
      <c r="W55" s="129" t="s">
        <v>1422</v>
      </c>
      <c r="X55" s="129" t="str">
        <f>IF(V55 = "Fail", W55, "")</f>
        <v/>
      </c>
    </row>
    <row r="56" spans="1:24" x14ac:dyDescent="0.2">
      <c r="A56" s="150" t="s">
        <v>848</v>
      </c>
      <c r="B56" s="496"/>
      <c r="C56" s="175" t="s">
        <v>849</v>
      </c>
      <c r="D56" s="175"/>
      <c r="E56" s="175"/>
      <c r="F56" s="175"/>
      <c r="G56" s="176"/>
      <c r="H56" s="161">
        <v>0</v>
      </c>
      <c r="I56" s="161">
        <v>0</v>
      </c>
      <c r="J56" s="166">
        <v>0</v>
      </c>
      <c r="K56" s="491"/>
      <c r="L56" s="491"/>
      <c r="M56" s="164" t="str">
        <f>IF(OR(AND(SUM(Table_10_UK!H56)&lt;&gt;0,ISBLANK(Table_10_UK!K56))),"Fail", "Pass")</f>
        <v>Pass</v>
      </c>
      <c r="N56" s="164" t="s">
        <v>1423</v>
      </c>
      <c r="O56" s="129" t="str">
        <f>IF(M56 = "Fail", N56, "")</f>
        <v/>
      </c>
      <c r="P56" s="164" t="str">
        <f>IF(AND(SUM(H56)=0,NOT(ISBLANK(K56))),"Fail","Pass")</f>
        <v>Pass</v>
      </c>
      <c r="Q56" s="129" t="s">
        <v>1424</v>
      </c>
      <c r="R56" s="129" t="str">
        <f>IF(P56 = "Fail", Q56, "")</f>
        <v/>
      </c>
      <c r="S56" s="164" t="str">
        <f>IF(OR(AND(SUM(Table_10_UK!I56)&lt;&gt;0,ISBLANK(Table_10_UK!L56))),"Fail", "Pass")</f>
        <v>Pass</v>
      </c>
      <c r="T56" s="164" t="s">
        <v>1425</v>
      </c>
      <c r="U56" s="129" t="str">
        <f>IF(S56 = "Fail", T56, "")</f>
        <v/>
      </c>
      <c r="V56" s="164" t="str">
        <f>IF(AND(SUM(I56)=0,NOT(ISBLANK(L56))),"Fail","Pass")</f>
        <v>Pass</v>
      </c>
      <c r="W56" s="129" t="s">
        <v>1426</v>
      </c>
      <c r="X56" s="129" t="str">
        <f>IF(V56 = "Fail", W56, "")</f>
        <v/>
      </c>
    </row>
    <row r="58" spans="1:24" x14ac:dyDescent="0.2">
      <c r="B58" s="129" t="s">
        <v>850</v>
      </c>
    </row>
  </sheetData>
  <sheetProtection algorithmName="SHA-512" hashValue="gwNlVVg/CecsaBCy2ntrD4Wiktw7ebn12qXLw1dVFzN+8AiGgC2Yc09WURUpjSiKM2J/EDybGyIbc+NOookyvg==" saltValue="f9XvB+trRzae2NK4iYNcVw==" spinCount="100000" sheet="1" objects="1" scenarios="1"/>
  <mergeCells count="7">
    <mergeCell ref="B1:G1"/>
    <mergeCell ref="B22:G22"/>
    <mergeCell ref="K2:L2"/>
    <mergeCell ref="T3:U3"/>
    <mergeCell ref="W3:X3"/>
    <mergeCell ref="N3:O3"/>
    <mergeCell ref="Q3:R3"/>
  </mergeCells>
  <conditionalFormatting sqref="V52:V56">
    <cfRule type="cellIs" dxfId="47" priority="1" operator="equal">
      <formula>"Fail"</formula>
    </cfRule>
  </conditionalFormatting>
  <conditionalFormatting sqref="S52:S56">
    <cfRule type="cellIs" dxfId="46" priority="2" operator="equal">
      <formula>"Fail"</formula>
    </cfRule>
  </conditionalFormatting>
  <conditionalFormatting sqref="P52:P56">
    <cfRule type="cellIs" dxfId="45" priority="3" operator="equal">
      <formula>"Fail"</formula>
    </cfRule>
  </conditionalFormatting>
  <conditionalFormatting sqref="M52:M56">
    <cfRule type="cellIs" dxfId="44" priority="4" operator="equal">
      <formula>"Fail"</formula>
    </cfRule>
  </conditionalFormatting>
  <conditionalFormatting sqref="M6:M40">
    <cfRule type="cellIs" dxfId="43" priority="5" operator="equal">
      <formula>"Fail"</formula>
    </cfRule>
  </conditionalFormatting>
  <conditionalFormatting sqref="P6:P40">
    <cfRule type="cellIs" dxfId="42" priority="6" operator="equal">
      <formula>"Fail"</formula>
    </cfRule>
  </conditionalFormatting>
  <conditionalFormatting sqref="S6:S40">
    <cfRule type="cellIs" dxfId="41" priority="7" operator="equal">
      <formula>"Fail"</formula>
    </cfRule>
  </conditionalFormatting>
  <conditionalFormatting sqref="V6:V40">
    <cfRule type="cellIs" dxfId="40" priority="8" operator="equal">
      <formula>"Fail"</formula>
    </cfRule>
  </conditionalFormatting>
  <conditionalFormatting sqref="V42:V50">
    <cfRule type="cellIs" dxfId="39" priority="9" operator="equal">
      <formula>"Fail"</formula>
    </cfRule>
  </conditionalFormatting>
  <conditionalFormatting sqref="S42:S50">
    <cfRule type="cellIs" dxfId="38" priority="10" operator="equal">
      <formula>"Fail"</formula>
    </cfRule>
  </conditionalFormatting>
  <conditionalFormatting sqref="P42:P50">
    <cfRule type="cellIs" dxfId="37" priority="11" operator="equal">
      <formula>"Fail"</formula>
    </cfRule>
  </conditionalFormatting>
  <conditionalFormatting sqref="M42:M50">
    <cfRule type="cellIs" dxfId="36" priority="12" operator="equal">
      <formula>"Fail"</formula>
    </cfRule>
  </conditionalFormatting>
  <conditionalFormatting sqref="V51">
    <cfRule type="cellIs" dxfId="35" priority="13" operator="equal">
      <formula>"Fail"</formula>
    </cfRule>
  </conditionalFormatting>
  <conditionalFormatting sqref="S51">
    <cfRule type="cellIs" dxfId="34" priority="14" operator="equal">
      <formula>"Fail"</formula>
    </cfRule>
  </conditionalFormatting>
  <conditionalFormatting sqref="P51">
    <cfRule type="cellIs" dxfId="33" priority="15" operator="equal">
      <formula>"Fail"</formula>
    </cfRule>
  </conditionalFormatting>
  <conditionalFormatting sqref="M51">
    <cfRule type="cellIs" dxfId="32" priority="16" operator="equal">
      <formula>"Fail"</formula>
    </cfRule>
  </conditionalFormatting>
  <conditionalFormatting sqref="M41">
    <cfRule type="cellIs" dxfId="31" priority="17" operator="equal">
      <formula>"Fail"</formula>
    </cfRule>
  </conditionalFormatting>
  <conditionalFormatting sqref="P41">
    <cfRule type="cellIs" dxfId="30" priority="18" operator="equal">
      <formula>"Fail"</formula>
    </cfRule>
  </conditionalFormatting>
  <conditionalFormatting sqref="S41">
    <cfRule type="cellIs" dxfId="29" priority="19" operator="equal">
      <formula>"Fail"</formula>
    </cfRule>
  </conditionalFormatting>
  <conditionalFormatting sqref="V41">
    <cfRule type="cellIs" dxfId="28" priority="20" operator="equal">
      <formula>"Fail"</formula>
    </cfRule>
  </conditionalFormatting>
  <conditionalFormatting sqref="I6">
    <cfRule type="expression" dxfId="27" priority="21">
      <formula>I6&lt;&gt;J6</formula>
    </cfRule>
  </conditionalFormatting>
  <conditionalFormatting sqref="I7">
    <cfRule type="expression" dxfId="26" priority="22">
      <formula>I7&lt;&gt;J7</formula>
    </cfRule>
  </conditionalFormatting>
  <conditionalFormatting sqref="I8">
    <cfRule type="expression" dxfId="25" priority="23">
      <formula>I8&lt;&gt;J8</formula>
    </cfRule>
  </conditionalFormatting>
  <conditionalFormatting sqref="I9">
    <cfRule type="expression" dxfId="24" priority="24">
      <formula>I9&lt;&gt;J9</formula>
    </cfRule>
  </conditionalFormatting>
  <conditionalFormatting sqref="I10">
    <cfRule type="expression" dxfId="23" priority="25">
      <formula>I10&lt;&gt;J10</formula>
    </cfRule>
  </conditionalFormatting>
  <conditionalFormatting sqref="I11">
    <cfRule type="expression" dxfId="22" priority="26">
      <formula>I11&lt;&gt;J11</formula>
    </cfRule>
  </conditionalFormatting>
  <conditionalFormatting sqref="I15">
    <cfRule type="expression" dxfId="21" priority="27">
      <formula>I15&lt;&gt;J15</formula>
    </cfRule>
  </conditionalFormatting>
  <conditionalFormatting sqref="I16">
    <cfRule type="expression" dxfId="20" priority="28">
      <formula>I16&lt;&gt;J16</formula>
    </cfRule>
  </conditionalFormatting>
  <conditionalFormatting sqref="I17">
    <cfRule type="expression" dxfId="19" priority="29">
      <formula>I17&lt;&gt;J17</formula>
    </cfRule>
  </conditionalFormatting>
  <conditionalFormatting sqref="I18">
    <cfRule type="expression" dxfId="18" priority="30">
      <formula>I18&lt;&gt;J18</formula>
    </cfRule>
  </conditionalFormatting>
  <conditionalFormatting sqref="I19">
    <cfRule type="expression" dxfId="17" priority="31">
      <formula>I19&lt;&gt;J19</formula>
    </cfRule>
  </conditionalFormatting>
  <conditionalFormatting sqref="I24">
    <cfRule type="expression" dxfId="16" priority="32">
      <formula>I24&lt;&gt;J24</formula>
    </cfRule>
  </conditionalFormatting>
  <conditionalFormatting sqref="I25">
    <cfRule type="expression" dxfId="15" priority="33">
      <formula>I25&lt;&gt;J25</formula>
    </cfRule>
  </conditionalFormatting>
  <conditionalFormatting sqref="I26">
    <cfRule type="expression" dxfId="14" priority="34">
      <formula>I26&lt;&gt;J26</formula>
    </cfRule>
  </conditionalFormatting>
  <conditionalFormatting sqref="I27">
    <cfRule type="expression" dxfId="13" priority="35">
      <formula>I27&lt;&gt;J27</formula>
    </cfRule>
  </conditionalFormatting>
  <conditionalFormatting sqref="I32">
    <cfRule type="expression" dxfId="12" priority="36">
      <formula>I32&lt;&gt;J32</formula>
    </cfRule>
  </conditionalFormatting>
  <conditionalFormatting sqref="I33">
    <cfRule type="expression" dxfId="11" priority="37">
      <formula>I33&lt;&gt;J33</formula>
    </cfRule>
  </conditionalFormatting>
  <conditionalFormatting sqref="I38">
    <cfRule type="expression" dxfId="10" priority="38">
      <formula>I38&lt;&gt;J38</formula>
    </cfRule>
  </conditionalFormatting>
  <conditionalFormatting sqref="I39">
    <cfRule type="expression" dxfId="9" priority="39">
      <formula>I39&lt;&gt;J39</formula>
    </cfRule>
  </conditionalFormatting>
  <conditionalFormatting sqref="I40">
    <cfRule type="expression" dxfId="8" priority="40">
      <formula>I40&lt;&gt;J40</formula>
    </cfRule>
  </conditionalFormatting>
  <conditionalFormatting sqref="I41">
    <cfRule type="expression" dxfId="7" priority="41">
      <formula>I41&lt;&gt;J41</formula>
    </cfRule>
  </conditionalFormatting>
  <conditionalFormatting sqref="I46">
    <cfRule type="expression" dxfId="6" priority="42">
      <formula>I46&lt;&gt;J46</formula>
    </cfRule>
  </conditionalFormatting>
  <conditionalFormatting sqref="I47">
    <cfRule type="expression" dxfId="5" priority="43">
      <formula>I47&lt;&gt;J47</formula>
    </cfRule>
  </conditionalFormatting>
  <conditionalFormatting sqref="I48">
    <cfRule type="expression" dxfId="4" priority="44">
      <formula>I48&lt;&gt;J48</formula>
    </cfRule>
  </conditionalFormatting>
  <conditionalFormatting sqref="I49">
    <cfRule type="expression" dxfId="3" priority="45">
      <formula>I49&lt;&gt;J49</formula>
    </cfRule>
  </conditionalFormatting>
  <conditionalFormatting sqref="I51">
    <cfRule type="expression" dxfId="2" priority="46">
      <formula>I51&lt;&gt;J51</formula>
    </cfRule>
  </conditionalFormatting>
  <conditionalFormatting sqref="I55">
    <cfRule type="expression" dxfId="1" priority="47">
      <formula>I55&lt;&gt;J55</formula>
    </cfRule>
  </conditionalFormatting>
  <conditionalFormatting sqref="I56">
    <cfRule type="expression" dxfId="0" priority="48">
      <formula>I56&lt;&gt;J56</formula>
    </cfRule>
  </conditionalFormatting>
  <dataValidations xWindow="1045" yWindow="2007" count="30">
    <dataValidation type="textLength" allowBlank="1" showInputMessage="1" showErrorMessage="1" promptTitle="Maximum 250 characters" prompt=" " sqref="K55:L56">
      <formula1>0</formula1>
      <formula2>250</formula2>
    </dataValidation>
    <dataValidation type="textLength" allowBlank="1" showInputMessage="1" showErrorMessage="1" promptTitle="Maximum 250 characters" prompt=" " sqref="K46:L49">
      <formula1>0</formula1>
      <formula2>250</formula2>
    </dataValidation>
    <dataValidation type="textLength" allowBlank="1" showInputMessage="1" showErrorMessage="1" promptTitle="Maximum 250 characters" prompt=" " sqref="K24:L27">
      <formula1>0</formula1>
      <formula2>250</formula2>
    </dataValidation>
    <dataValidation type="textLength" allowBlank="1" showInputMessage="1" showErrorMessage="1" promptTitle="Maximum 250 characters" prompt=" " sqref="K6:L11">
      <formula1>0</formula1>
      <formula2>250</formula2>
    </dataValidation>
    <dataValidation type="textLength" allowBlank="1" showInputMessage="1" showErrorMessage="1" promptTitle="Maximum 250 characters" prompt=" " sqref="K15:L19">
      <formula1>0</formula1>
      <formula2>250</formula2>
    </dataValidation>
    <dataValidation type="textLength" allowBlank="1" showInputMessage="1" showErrorMessage="1" promptTitle="Maximum 250 characters" prompt=" " sqref="K32:L33">
      <formula1>0</formula1>
      <formula2>250</formula2>
    </dataValidation>
    <dataValidation type="textLength" allowBlank="1" showInputMessage="1" showErrorMessage="1" promptTitle="Maximum 250 characters" prompt=" " sqref="K38:L41">
      <formula1>0</formula1>
      <formula2>250</formula2>
    </dataValidation>
    <dataValidation type="textLength" allowBlank="1" showInputMessage="1" showErrorMessage="1" promptTitle="Maximum 250 characters" prompt=" " sqref="K51:L51">
      <formula1>0</formula1>
      <formula2>250</formula2>
    </dataValidation>
    <dataValidation type="whole" operator="greaterThan" allowBlank="1" showInputMessage="1" showErrorMessage="1" errorTitle="Whole numbers only allowed" promptTitle="If a value is entered here..." prompt="Please complete the text box to the right (column L)" sqref="I6:I11">
      <formula1>-99999999</formula1>
    </dataValidation>
    <dataValidation type="whole" operator="greaterThan" allowBlank="1" showInputMessage="1" showErrorMessage="1" errorTitle="Whole numbers only allowed" promptTitle="If a value is entered here..." prompt="Please complete the text box to the right (column L)" sqref="I15:I19">
      <formula1>-99999999</formula1>
    </dataValidation>
    <dataValidation type="whole" operator="greaterThan" allowBlank="1" showInputMessage="1" showErrorMessage="1" errorTitle="Whole numbers only allowed" promptTitle="If a value is entered here..." prompt="Please complete the text box to the right (column L)" sqref="I24:I27">
      <formula1>-99999999</formula1>
    </dataValidation>
    <dataValidation type="whole" operator="greaterThan" allowBlank="1" showInputMessage="1" showErrorMessage="1" errorTitle="Whole numbers only allowed" promptTitle="If a value is entered here..." prompt="Please complete the text box to the right (column L)" sqref="I32:I33">
      <formula1>-99999999</formula1>
    </dataValidation>
    <dataValidation type="whole" operator="greaterThan" allowBlank="1" showInputMessage="1" showErrorMessage="1" errorTitle="Whole numbers only allowed" promptTitle="If a value is entered here..." prompt="Please complete the text box to the right (column L)" sqref="I38:I41">
      <formula1>-99999999</formula1>
    </dataValidation>
    <dataValidation type="whole" operator="greaterThan" allowBlank="1" showInputMessage="1" showErrorMessage="1" errorTitle="Whole numbers only allowed" promptTitle="If a value is entered here..." prompt="Please complete the text box to the right (column L)" sqref="I46:I49">
      <formula1>-99999999</formula1>
    </dataValidation>
    <dataValidation type="whole" operator="greaterThan" allowBlank="1" showInputMessage="1" showErrorMessage="1" errorTitle="Whole numbers only allowed" promptTitle="If a value is entered here..." prompt="Please complete the text box to the right (column L)" sqref="I51">
      <formula1>-99999999</formula1>
    </dataValidation>
    <dataValidation type="whole" operator="greaterThan" allowBlank="1" showInputMessage="1" showErrorMessage="1" errorTitle="Whole numbers only allowed" promptTitle="If a value is entered here..." prompt="Please complete the text box to the right (column L)" sqref="I55:I56">
      <formula1>-99999999</formula1>
    </dataValidation>
    <dataValidation type="whole" operator="greaterThan" allowBlank="1" showInputMessage="1" showErrorMessage="1" errorTitle="Whole numbers only allowed" error="All monies should be independently rounded to the nearest £1,000." sqref="H50:I50">
      <formula1>-99999999</formula1>
    </dataValidation>
    <dataValidation type="whole" operator="greaterThan" allowBlank="1" showInputMessage="1" showErrorMessage="1" errorTitle="Whole numbers only allowed" error="All monies should be independently rounded to the nearest £1,000." sqref="H52:I52">
      <formula1>-99999999</formula1>
    </dataValidation>
    <dataValidation type="whole" operator="greaterThan" allowBlank="1" showInputMessage="1" showErrorMessage="1" errorTitle="Whole numbers only allowed" promptTitle="If a value is entered here..." prompt="Please complete the text box to the right (column K)" sqref="H6">
      <formula1>-99999999</formula1>
    </dataValidation>
    <dataValidation type="whole" operator="greaterThan" allowBlank="1" showInputMessage="1" showErrorMessage="1" errorTitle="Whole numbers only allowed" promptTitle="If a value is entered here..." prompt="Please complete the text box to the right (column K)" sqref="H7">
      <formula1>-99999999</formula1>
    </dataValidation>
    <dataValidation type="whole" operator="greaterThan" allowBlank="1" showInputMessage="1" showErrorMessage="1" errorTitle="Whole numbers only allowed" promptTitle="If a value is entered here..." prompt="Please complete the text box to the right (column K)" sqref="H8">
      <formula1>-99999999</formula1>
    </dataValidation>
    <dataValidation type="whole" operator="greaterThan" allowBlank="1" showInputMessage="1" showErrorMessage="1" errorTitle="Whole numbers only allowed" promptTitle="If a value is entered here..." prompt="Please complete the text box to the right (column K)" sqref="H9:H11">
      <formula1>-99999999</formula1>
    </dataValidation>
    <dataValidation type="whole" operator="greaterThan" allowBlank="1" showInputMessage="1" showErrorMessage="1" errorTitle="Whole numbers only allowed" promptTitle="If a value is entered here..." prompt="Please complete the text box to the right (column K)" sqref="H15:H19">
      <formula1>-99999999</formula1>
    </dataValidation>
    <dataValidation type="whole" operator="greaterThan" allowBlank="1" showInputMessage="1" showErrorMessage="1" errorTitle="Whole numbers only allowed" promptTitle="If a value is entered here..." prompt="Please complete the text box to the right (column K)" sqref="H24:H27">
      <formula1>-99999999</formula1>
    </dataValidation>
    <dataValidation type="whole" operator="greaterThan" allowBlank="1" showInputMessage="1" showErrorMessage="1" errorTitle="Whole numbers only allowed" promptTitle="If a value is entered here..." prompt="Please complete the text box to the right (column K)" sqref="H32:H33">
      <formula1>-99999999</formula1>
    </dataValidation>
    <dataValidation type="whole" operator="greaterThan" allowBlank="1" showInputMessage="1" showErrorMessage="1" errorTitle="Whole numbers only allowed" promptTitle="If a value is entered here..." prompt="Please complete the text box to the right (column K)" sqref="H38:H41">
      <formula1>-99999999</formula1>
    </dataValidation>
    <dataValidation type="whole" operator="greaterThan" allowBlank="1" showInputMessage="1" showErrorMessage="1" errorTitle="Whole numbers only allowed" promptTitle="If a value is entered here..." prompt="Please complete the text box to the right (column K)" sqref="H46:H48">
      <formula1>-99999999</formula1>
    </dataValidation>
    <dataValidation type="whole" operator="greaterThan" allowBlank="1" showInputMessage="1" showErrorMessage="1" errorTitle="Whole numbers only allowed" promptTitle="If a value is entered here..." prompt="Please complete the text box to the right (column K)" sqref="H49">
      <formula1>-99999999</formula1>
    </dataValidation>
    <dataValidation type="whole" operator="greaterThan" allowBlank="1" showInputMessage="1" showErrorMessage="1" errorTitle="Whole numbers only allowed" promptTitle="If a value is entered here..." prompt="Please complete the text box to the right (column K)" sqref="H51">
      <formula1>-99999999</formula1>
    </dataValidation>
    <dataValidation type="whole" operator="greaterThan" allowBlank="1" showInputMessage="1" showErrorMessage="1" errorTitle="Whole numbers only allowed" promptTitle="If a value is entered here..." prompt="Please complete the text box to the right (column K)" sqref="H55:H56">
      <formula1>-99999999</formula1>
    </dataValidation>
  </dataValidations>
  <printOptions headings="1" gridLines="1"/>
  <pageMargins left="0.31496062992125984" right="0.31496062992125984" top="0.74803149606299213" bottom="0.74803149606299213" header="0.31496062992125984" footer="0.31496062992125984"/>
  <pageSetup paperSize="8" scale="4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B44"/>
  <sheetViews>
    <sheetView zoomScale="80" zoomScaleNormal="80" workbookViewId="0">
      <pane xSplit="7" ySplit="5" topLeftCell="H26" activePane="bottomRight" state="frozenSplit"/>
      <selection activeCell="K6" sqref="K6 K6"/>
      <selection pane="topRight"/>
      <selection pane="bottomLeft"/>
      <selection pane="bottomRight" activeCell="B38" sqref="B38:C38"/>
    </sheetView>
  </sheetViews>
  <sheetFormatPr defaultColWidth="10" defaultRowHeight="15" x14ac:dyDescent="0.25"/>
  <cols>
    <col min="1" max="1" width="12.28515625" style="3" customWidth="1"/>
    <col min="2" max="2" width="4.5703125" style="3" customWidth="1"/>
    <col min="3" max="3" width="129.140625" style="3" customWidth="1"/>
    <col min="4" max="4" width="53.5703125" style="3" hidden="1" customWidth="1"/>
    <col min="5" max="7" width="9.28515625" style="3" hidden="1" customWidth="1"/>
    <col min="8" max="8" width="15.5703125" style="3" customWidth="1"/>
    <col min="9" max="9" width="15" style="3" customWidth="1"/>
    <col min="10" max="10" width="15.28515625" style="3" customWidth="1"/>
    <col min="11" max="11" width="14.42578125" style="3" customWidth="1"/>
    <col min="12" max="12" width="14" style="3" customWidth="1"/>
    <col min="13" max="13" width="15.7109375" style="3" customWidth="1"/>
    <col min="14" max="14" width="13.7109375" style="3" customWidth="1"/>
    <col min="15" max="15" width="15.28515625" style="3" customWidth="1"/>
    <col min="16" max="16" width="15.7109375" style="3" customWidth="1"/>
    <col min="17" max="17" width="14.85546875" style="3" customWidth="1"/>
    <col min="18" max="18" width="92.5703125" style="3" customWidth="1"/>
    <col min="19" max="19" width="16.42578125" style="3" hidden="1" customWidth="1"/>
    <col min="20" max="20" width="15.7109375" style="3" hidden="1" customWidth="1"/>
    <col min="21" max="21" width="16.42578125" style="3" hidden="1" customWidth="1"/>
    <col min="22" max="22" width="14.42578125" style="3" hidden="1" customWidth="1"/>
    <col min="23" max="23" width="16.42578125" style="3" hidden="1" customWidth="1"/>
    <col min="24" max="24" width="16" style="3" hidden="1" customWidth="1"/>
    <col min="25" max="25" width="16.42578125" style="3" hidden="1" customWidth="1"/>
    <col min="26" max="26" width="17.7109375" style="3" hidden="1" customWidth="1"/>
    <col min="27" max="27" width="5.85546875" style="3" hidden="1" customWidth="1"/>
    <col min="28" max="28" width="42.7109375" style="3" hidden="1" customWidth="1"/>
  </cols>
  <sheetData>
    <row r="1" spans="1:28" ht="15.4" customHeight="1" x14ac:dyDescent="0.25">
      <c r="A1" s="239" t="s">
        <v>1427</v>
      </c>
      <c r="B1" s="622" t="s">
        <v>1428</v>
      </c>
      <c r="C1" s="622"/>
      <c r="D1" s="622"/>
      <c r="E1" s="622"/>
      <c r="F1" s="622"/>
      <c r="G1" s="622"/>
      <c r="H1" s="661"/>
      <c r="I1" s="661"/>
      <c r="J1" s="661"/>
      <c r="K1" s="661"/>
      <c r="L1" s="661"/>
      <c r="M1" s="498"/>
      <c r="N1" s="498"/>
      <c r="O1" s="498"/>
      <c r="P1" s="498"/>
      <c r="Q1" s="499"/>
      <c r="R1"/>
      <c r="S1"/>
      <c r="T1"/>
      <c r="U1"/>
      <c r="V1"/>
      <c r="W1"/>
      <c r="X1"/>
      <c r="Y1"/>
      <c r="Z1"/>
      <c r="AA1"/>
      <c r="AB1"/>
    </row>
    <row r="2" spans="1:28" ht="15.95" customHeight="1" x14ac:dyDescent="0.25">
      <c r="A2" s="667"/>
      <c r="B2" s="668"/>
      <c r="C2" s="668"/>
      <c r="D2" s="668"/>
      <c r="E2" s="668"/>
      <c r="F2" s="207"/>
      <c r="G2" s="207"/>
      <c r="H2" s="662"/>
      <c r="I2" s="662"/>
      <c r="J2" s="662"/>
      <c r="K2" s="662"/>
      <c r="L2" s="662"/>
      <c r="M2" s="501"/>
      <c r="N2" s="502"/>
      <c r="O2" s="502"/>
      <c r="P2" s="502"/>
      <c r="Q2" s="503"/>
      <c r="R2"/>
      <c r="S2" s="156" t="s">
        <v>193</v>
      </c>
      <c r="T2" s="156" t="s">
        <v>193</v>
      </c>
      <c r="U2" s="156" t="s">
        <v>193</v>
      </c>
      <c r="V2" s="156" t="s">
        <v>193</v>
      </c>
      <c r="W2" s="156" t="s">
        <v>193</v>
      </c>
      <c r="X2" s="156" t="s">
        <v>193</v>
      </c>
      <c r="Y2" s="156" t="s">
        <v>193</v>
      </c>
      <c r="Z2" s="156" t="s">
        <v>193</v>
      </c>
      <c r="AA2"/>
      <c r="AB2" s="156" t="s">
        <v>193</v>
      </c>
    </row>
    <row r="3" spans="1:28" ht="72.400000000000006" customHeight="1" x14ac:dyDescent="0.25">
      <c r="A3" s="504"/>
      <c r="B3" s="669" t="s">
        <v>1429</v>
      </c>
      <c r="C3" s="669"/>
      <c r="D3" s="505"/>
      <c r="E3" s="505"/>
      <c r="F3" s="505"/>
      <c r="G3" s="505"/>
      <c r="H3" s="663" t="s">
        <v>1430</v>
      </c>
      <c r="I3" s="664"/>
      <c r="J3" s="663" t="s">
        <v>1431</v>
      </c>
      <c r="K3" s="664"/>
      <c r="L3" s="663" t="s">
        <v>1432</v>
      </c>
      <c r="M3" s="664"/>
      <c r="N3" s="663" t="s">
        <v>1433</v>
      </c>
      <c r="O3" s="664"/>
      <c r="P3" s="663" t="s">
        <v>844</v>
      </c>
      <c r="Q3" s="664"/>
      <c r="R3"/>
      <c r="S3" s="663" t="str">
        <f>H3</f>
        <v>Head of provider at 
31 July 2019</v>
      </c>
      <c r="T3" s="664"/>
      <c r="U3" s="663" t="str">
        <f>J3</f>
        <v>Previous Head of provider (1)</v>
      </c>
      <c r="V3" s="664"/>
      <c r="W3" s="663" t="str">
        <f>L3</f>
        <v>Previous Head of provider (2)</v>
      </c>
      <c r="X3" s="664"/>
      <c r="Y3" s="663" t="str">
        <f>N3</f>
        <v>Previous Head of provider (3)</v>
      </c>
      <c r="Z3" s="664"/>
      <c r="AA3"/>
      <c r="AB3" s="506"/>
    </row>
    <row r="4" spans="1:28" ht="56.25" customHeight="1" x14ac:dyDescent="0.25">
      <c r="A4" s="504"/>
      <c r="B4" s="669" t="s">
        <v>1434</v>
      </c>
      <c r="C4" s="669"/>
      <c r="D4" s="505"/>
      <c r="E4" s="505"/>
      <c r="F4" s="505"/>
      <c r="G4" s="505"/>
      <c r="H4" s="26" t="str">
        <f>'Hide_me(drop_downs)'!I1</f>
        <v>Year ended 31 July 2019</v>
      </c>
      <c r="I4" s="27" t="str">
        <f>'Hide_me(drop_downs)'!J1</f>
        <v>Year ended 31 July 2018</v>
      </c>
      <c r="J4" s="26" t="str">
        <f>'Hide_me(drop_downs)'!I1</f>
        <v>Year ended 31 July 2019</v>
      </c>
      <c r="K4" s="27" t="str">
        <f>'Hide_me(drop_downs)'!J1</f>
        <v>Year ended 31 July 2018</v>
      </c>
      <c r="L4" s="26" t="str">
        <f>'Hide_me(drop_downs)'!I1</f>
        <v>Year ended 31 July 2019</v>
      </c>
      <c r="M4" s="27" t="str">
        <f>'Hide_me(drop_downs)'!J1</f>
        <v>Year ended 31 July 2018</v>
      </c>
      <c r="N4" s="26" t="str">
        <f>'Hide_me(drop_downs)'!I1</f>
        <v>Year ended 31 July 2019</v>
      </c>
      <c r="O4" s="27" t="str">
        <f>'Hide_me(drop_downs)'!J1</f>
        <v>Year ended 31 July 2018</v>
      </c>
      <c r="P4" s="26" t="str">
        <f>'Hide_me(drop_downs)'!I1</f>
        <v>Year ended 31 July 2019</v>
      </c>
      <c r="Q4" s="27" t="str">
        <f>'Hide_me(drop_downs)'!J1</f>
        <v>Year ended 31 July 2018</v>
      </c>
      <c r="R4"/>
      <c r="S4" s="26" t="str">
        <f>'Hide_me(drop_downs)'!I1</f>
        <v>Year ended 31 July 2019</v>
      </c>
      <c r="T4" s="27" t="str">
        <f>'Hide_me(drop_downs)'!J1</f>
        <v>Year ended 31 July 2018</v>
      </c>
      <c r="U4" s="26" t="str">
        <f>'Hide_me(drop_downs)'!I1</f>
        <v>Year ended 31 July 2019</v>
      </c>
      <c r="V4" s="27" t="str">
        <f>'Hide_me(drop_downs)'!J1</f>
        <v>Year ended 31 July 2018</v>
      </c>
      <c r="W4" s="26" t="str">
        <f>'Hide_me(drop_downs)'!I1</f>
        <v>Year ended 31 July 2019</v>
      </c>
      <c r="X4" s="27" t="str">
        <f>'Hide_me(drop_downs)'!J1</f>
        <v>Year ended 31 July 2018</v>
      </c>
      <c r="Y4" s="26" t="str">
        <f>'Hide_me(drop_downs)'!I1</f>
        <v>Year ended 31 July 2019</v>
      </c>
      <c r="Z4" s="27" t="str">
        <f>'Hide_me(drop_downs)'!J1</f>
        <v>Year ended 31 July 2018</v>
      </c>
      <c r="AA4"/>
      <c r="AB4" s="244" t="s">
        <v>1428</v>
      </c>
    </row>
    <row r="5" spans="1:28" ht="26.65" customHeight="1" x14ac:dyDescent="0.25">
      <c r="A5" s="504"/>
      <c r="B5" s="507"/>
      <c r="C5" s="507"/>
      <c r="D5" s="507"/>
      <c r="E5" s="507"/>
      <c r="F5" s="507"/>
      <c r="G5" s="507"/>
      <c r="H5" s="148" t="s">
        <v>784</v>
      </c>
      <c r="I5" s="148" t="s">
        <v>784</v>
      </c>
      <c r="J5" s="148" t="s">
        <v>784</v>
      </c>
      <c r="K5" s="148" t="s">
        <v>784</v>
      </c>
      <c r="L5" s="148" t="s">
        <v>784</v>
      </c>
      <c r="M5" s="148" t="s">
        <v>784</v>
      </c>
      <c r="N5" s="148" t="s">
        <v>784</v>
      </c>
      <c r="O5" s="148" t="s">
        <v>784</v>
      </c>
      <c r="P5" s="148" t="s">
        <v>784</v>
      </c>
      <c r="Q5" s="148" t="s">
        <v>784</v>
      </c>
      <c r="R5"/>
      <c r="S5" s="148" t="s">
        <v>784</v>
      </c>
      <c r="T5" s="148" t="s">
        <v>784</v>
      </c>
      <c r="U5" s="148" t="s">
        <v>784</v>
      </c>
      <c r="V5" s="148" t="s">
        <v>784</v>
      </c>
      <c r="W5" s="148" t="s">
        <v>784</v>
      </c>
      <c r="X5" s="148" t="s">
        <v>784</v>
      </c>
      <c r="Y5" s="148" t="s">
        <v>784</v>
      </c>
      <c r="Z5" s="148" t="s">
        <v>784</v>
      </c>
      <c r="AA5"/>
      <c r="AB5" s="244" t="s">
        <v>1435</v>
      </c>
    </row>
    <row r="6" spans="1:28" x14ac:dyDescent="0.25">
      <c r="A6" s="150" t="s">
        <v>789</v>
      </c>
      <c r="B6" s="336" t="s">
        <v>1436</v>
      </c>
      <c r="C6" s="335"/>
      <c r="D6" s="336"/>
      <c r="E6" s="158"/>
      <c r="F6" s="158"/>
      <c r="G6" s="159"/>
      <c r="H6" s="665" t="s">
        <v>1675</v>
      </c>
      <c r="I6" s="666"/>
      <c r="J6" s="665" t="s">
        <v>1437</v>
      </c>
      <c r="K6" s="666"/>
      <c r="L6" s="665" t="s">
        <v>1437</v>
      </c>
      <c r="M6" s="666"/>
      <c r="N6" s="665" t="s">
        <v>1437</v>
      </c>
      <c r="O6" s="666"/>
      <c r="P6" s="659" t="s">
        <v>1438</v>
      </c>
      <c r="Q6" s="660"/>
    </row>
    <row r="7" spans="1:28" x14ac:dyDescent="0.25">
      <c r="A7" s="150" t="s">
        <v>791</v>
      </c>
      <c r="B7" s="336" t="s">
        <v>1439</v>
      </c>
      <c r="C7" s="335"/>
      <c r="D7" s="336"/>
      <c r="E7" s="158"/>
      <c r="F7" s="158"/>
      <c r="G7" s="159"/>
      <c r="H7" s="657">
        <v>43136</v>
      </c>
      <c r="I7" s="658"/>
      <c r="J7" s="657"/>
      <c r="K7" s="658"/>
      <c r="L7" s="657"/>
      <c r="M7" s="658"/>
      <c r="N7" s="657"/>
      <c r="O7" s="658"/>
      <c r="P7" s="659" t="s">
        <v>1438</v>
      </c>
      <c r="Q7" s="660"/>
      <c r="S7" s="508" t="str">
        <f>IF(TEXT(H7,"YYYYMMDD")="19000100","0",TEXT(H7,"YYYYMMDD"))</f>
        <v>20180205</v>
      </c>
      <c r="U7" s="508" t="str">
        <f>IF(TEXT(J7,"YYYYMMDD")="19000100","0",TEXT(J7,"YYYYMMDD"))</f>
        <v>0</v>
      </c>
      <c r="W7" s="508" t="str">
        <f>IF(TEXT(L7,"YYYYMMDD")="19000100","0",TEXT(L7,"YYYYMMDD"))</f>
        <v>0</v>
      </c>
      <c r="Y7" s="508" t="str">
        <f>IF(TEXT(N7,"YYYYMMDD")="19000100","0",TEXT(N7,"YYYYMMDD"))</f>
        <v>0</v>
      </c>
    </row>
    <row r="8" spans="1:28" x14ac:dyDescent="0.25">
      <c r="A8" s="150" t="s">
        <v>793</v>
      </c>
      <c r="B8" s="336" t="s">
        <v>1440</v>
      </c>
      <c r="C8" s="335"/>
      <c r="D8" s="336"/>
      <c r="E8" s="158"/>
      <c r="F8" s="158"/>
      <c r="G8" s="159"/>
      <c r="H8" s="657"/>
      <c r="I8" s="658"/>
      <c r="J8" s="657"/>
      <c r="K8" s="658"/>
      <c r="L8" s="657"/>
      <c r="M8" s="658"/>
      <c r="N8" s="657"/>
      <c r="O8" s="658"/>
      <c r="P8" s="659" t="s">
        <v>1438</v>
      </c>
      <c r="Q8" s="660"/>
      <c r="S8" s="508" t="str">
        <f>IF(TEXT(H8,"YYYYMMDD")="19000100","0",TEXT(H8,"YYYYMMDD"))</f>
        <v>0</v>
      </c>
      <c r="U8" s="508" t="str">
        <f>IF(TEXT(J8,"YYYYMMDD")="19000100","0",TEXT(J8,"YYYYMMDD"))</f>
        <v>0</v>
      </c>
      <c r="W8" s="508" t="str">
        <f>IF(TEXT(L8,"YYYYMMDD")="19000100","0",TEXT(L8,"YYYYMMDD"))</f>
        <v>0</v>
      </c>
      <c r="Y8" s="508" t="str">
        <f>IF(TEXT(N8,"YYYYMMDD")="19000100","0",TEXT(N8,"YYYYMMDD"))</f>
        <v>0</v>
      </c>
    </row>
    <row r="9" spans="1:28" x14ac:dyDescent="0.25">
      <c r="A9" s="150"/>
      <c r="B9" s="329"/>
      <c r="C9" s="509"/>
      <c r="D9" s="510"/>
      <c r="E9" s="511"/>
      <c r="F9" s="512"/>
      <c r="G9" s="512"/>
      <c r="H9" s="513"/>
      <c r="I9" s="513"/>
      <c r="J9" s="513"/>
      <c r="K9" s="513"/>
      <c r="L9" s="513"/>
      <c r="M9" s="513"/>
      <c r="N9" s="513"/>
      <c r="O9" s="513"/>
      <c r="P9" s="513"/>
      <c r="Q9" s="513"/>
    </row>
    <row r="10" spans="1:28" x14ac:dyDescent="0.25">
      <c r="A10" s="150" t="s">
        <v>804</v>
      </c>
      <c r="B10" s="336" t="s">
        <v>1441</v>
      </c>
      <c r="C10" s="335"/>
      <c r="D10" s="336"/>
      <c r="E10" s="158"/>
      <c r="F10" s="158"/>
      <c r="G10" s="159"/>
      <c r="H10" s="161">
        <v>342</v>
      </c>
      <c r="I10" s="161">
        <v>171</v>
      </c>
      <c r="J10" s="161">
        <v>0</v>
      </c>
      <c r="K10" s="161">
        <v>0</v>
      </c>
      <c r="L10" s="161">
        <v>0</v>
      </c>
      <c r="M10" s="161">
        <v>0</v>
      </c>
      <c r="N10" s="161">
        <v>0</v>
      </c>
      <c r="O10" s="161">
        <v>0</v>
      </c>
      <c r="P10" s="197">
        <f t="shared" ref="P10:Q17" si="0">SUM(H10+J10+L10+N10)</f>
        <v>342</v>
      </c>
      <c r="Q10" s="197">
        <f t="shared" si="0"/>
        <v>171</v>
      </c>
    </row>
    <row r="11" spans="1:28" x14ac:dyDescent="0.25">
      <c r="A11" s="150" t="s">
        <v>806</v>
      </c>
      <c r="B11" s="336" t="s">
        <v>1442</v>
      </c>
      <c r="C11" s="335"/>
      <c r="D11" s="336"/>
      <c r="E11" s="158"/>
      <c r="F11" s="158"/>
      <c r="G11" s="159"/>
      <c r="H11" s="161">
        <v>0</v>
      </c>
      <c r="I11" s="161">
        <v>0</v>
      </c>
      <c r="J11" s="161">
        <v>0</v>
      </c>
      <c r="K11" s="161">
        <v>0</v>
      </c>
      <c r="L11" s="161">
        <v>0</v>
      </c>
      <c r="M11" s="161">
        <v>0</v>
      </c>
      <c r="N11" s="161">
        <v>0</v>
      </c>
      <c r="O11" s="161">
        <v>0</v>
      </c>
      <c r="P11" s="197">
        <f t="shared" si="0"/>
        <v>0</v>
      </c>
      <c r="Q11" s="197">
        <f t="shared" si="0"/>
        <v>0</v>
      </c>
    </row>
    <row r="12" spans="1:28" x14ac:dyDescent="0.25">
      <c r="A12" s="150" t="s">
        <v>808</v>
      </c>
      <c r="B12" s="336" t="s">
        <v>1443</v>
      </c>
      <c r="C12" s="335"/>
      <c r="D12" s="336"/>
      <c r="E12" s="175"/>
      <c r="F12" s="159"/>
      <c r="G12" s="159"/>
      <c r="H12" s="161">
        <v>0</v>
      </c>
      <c r="I12" s="161">
        <v>0</v>
      </c>
      <c r="J12" s="161">
        <v>0</v>
      </c>
      <c r="K12" s="161">
        <v>0</v>
      </c>
      <c r="L12" s="161">
        <v>0</v>
      </c>
      <c r="M12" s="161">
        <v>0</v>
      </c>
      <c r="N12" s="161">
        <v>0</v>
      </c>
      <c r="O12" s="161">
        <v>0</v>
      </c>
      <c r="P12" s="197">
        <f t="shared" si="0"/>
        <v>0</v>
      </c>
      <c r="Q12" s="197">
        <f t="shared" si="0"/>
        <v>0</v>
      </c>
    </row>
    <row r="13" spans="1:28" x14ac:dyDescent="0.25">
      <c r="A13" s="150" t="s">
        <v>810</v>
      </c>
      <c r="B13" s="336" t="s">
        <v>1444</v>
      </c>
      <c r="C13" s="335"/>
      <c r="D13" s="336"/>
      <c r="E13" s="192"/>
      <c r="F13" s="192"/>
      <c r="G13" s="192"/>
      <c r="H13" s="161">
        <v>51</v>
      </c>
      <c r="I13" s="161">
        <v>26</v>
      </c>
      <c r="J13" s="161">
        <v>0</v>
      </c>
      <c r="K13" s="161">
        <v>0</v>
      </c>
      <c r="L13" s="161">
        <v>0</v>
      </c>
      <c r="M13" s="161">
        <v>0</v>
      </c>
      <c r="N13" s="161">
        <v>0</v>
      </c>
      <c r="O13" s="161">
        <v>0</v>
      </c>
      <c r="P13" s="197">
        <f t="shared" si="0"/>
        <v>51</v>
      </c>
      <c r="Q13" s="197">
        <f t="shared" si="0"/>
        <v>26</v>
      </c>
    </row>
    <row r="14" spans="1:28" x14ac:dyDescent="0.25">
      <c r="A14" s="150" t="s">
        <v>812</v>
      </c>
      <c r="B14" s="336" t="s">
        <v>1445</v>
      </c>
      <c r="C14" s="335"/>
      <c r="D14" s="336"/>
      <c r="E14" s="175"/>
      <c r="F14" s="175"/>
      <c r="G14" s="175"/>
      <c r="H14" s="161">
        <v>0</v>
      </c>
      <c r="I14" s="161">
        <v>0</v>
      </c>
      <c r="J14" s="161">
        <v>0</v>
      </c>
      <c r="K14" s="161">
        <v>0</v>
      </c>
      <c r="L14" s="161">
        <v>0</v>
      </c>
      <c r="M14" s="161">
        <v>0</v>
      </c>
      <c r="N14" s="161">
        <v>0</v>
      </c>
      <c r="O14" s="161">
        <v>0</v>
      </c>
      <c r="P14" s="197">
        <f t="shared" si="0"/>
        <v>0</v>
      </c>
      <c r="Q14" s="197">
        <f t="shared" si="0"/>
        <v>0</v>
      </c>
    </row>
    <row r="15" spans="1:28" x14ac:dyDescent="0.25">
      <c r="A15" s="150" t="s">
        <v>814</v>
      </c>
      <c r="B15" s="336" t="s">
        <v>1446</v>
      </c>
      <c r="C15" s="335"/>
      <c r="D15" s="336"/>
      <c r="E15" s="175"/>
      <c r="F15" s="175"/>
      <c r="G15" s="175"/>
      <c r="H15" s="161">
        <v>0</v>
      </c>
      <c r="I15" s="161">
        <v>0</v>
      </c>
      <c r="J15" s="161">
        <v>0</v>
      </c>
      <c r="K15" s="161">
        <v>0</v>
      </c>
      <c r="L15" s="161">
        <v>0</v>
      </c>
      <c r="M15" s="161">
        <v>0</v>
      </c>
      <c r="N15" s="161">
        <v>0</v>
      </c>
      <c r="O15" s="161">
        <v>0</v>
      </c>
      <c r="P15" s="197">
        <f t="shared" si="0"/>
        <v>0</v>
      </c>
      <c r="Q15" s="197">
        <f t="shared" si="0"/>
        <v>0</v>
      </c>
    </row>
    <row r="16" spans="1:28" x14ac:dyDescent="0.25">
      <c r="A16" s="150" t="s">
        <v>873</v>
      </c>
      <c r="B16" s="336" t="s">
        <v>1447</v>
      </c>
      <c r="C16" s="335"/>
      <c r="D16" s="336"/>
      <c r="E16" s="192"/>
      <c r="F16" s="192"/>
      <c r="G16" s="192"/>
      <c r="H16" s="161">
        <v>0</v>
      </c>
      <c r="I16" s="161">
        <v>0</v>
      </c>
      <c r="J16" s="161">
        <v>0</v>
      </c>
      <c r="K16" s="161">
        <v>0</v>
      </c>
      <c r="L16" s="161">
        <v>0</v>
      </c>
      <c r="M16" s="161">
        <v>0</v>
      </c>
      <c r="N16" s="161">
        <v>0</v>
      </c>
      <c r="O16" s="161">
        <v>0</v>
      </c>
      <c r="P16" s="197">
        <f t="shared" si="0"/>
        <v>0</v>
      </c>
      <c r="Q16" s="197">
        <f t="shared" si="0"/>
        <v>0</v>
      </c>
    </row>
    <row r="17" spans="1:22" x14ac:dyDescent="0.25">
      <c r="A17" s="150" t="s">
        <v>941</v>
      </c>
      <c r="B17" s="336" t="s">
        <v>1448</v>
      </c>
      <c r="C17" s="335"/>
      <c r="D17" s="336"/>
      <c r="E17" s="175"/>
      <c r="F17" s="159"/>
      <c r="G17" s="159"/>
      <c r="H17" s="161">
        <v>0</v>
      </c>
      <c r="I17" s="161">
        <v>0</v>
      </c>
      <c r="J17" s="161">
        <v>0</v>
      </c>
      <c r="K17" s="161">
        <v>0</v>
      </c>
      <c r="L17" s="161">
        <v>0</v>
      </c>
      <c r="M17" s="161">
        <v>0</v>
      </c>
      <c r="N17" s="161">
        <v>0</v>
      </c>
      <c r="O17" s="161">
        <v>0</v>
      </c>
      <c r="P17" s="197">
        <f t="shared" si="0"/>
        <v>0</v>
      </c>
      <c r="Q17" s="197">
        <f t="shared" si="0"/>
        <v>0</v>
      </c>
    </row>
    <row r="18" spans="1:22" x14ac:dyDescent="0.25">
      <c r="A18" s="150">
        <v>3</v>
      </c>
      <c r="B18" s="326" t="s">
        <v>1449</v>
      </c>
      <c r="C18" s="509"/>
      <c r="D18" s="510"/>
      <c r="E18" s="511"/>
      <c r="F18" s="512"/>
      <c r="G18" s="512"/>
      <c r="H18" s="513"/>
      <c r="I18" s="513"/>
      <c r="J18" s="513"/>
      <c r="K18" s="513"/>
      <c r="L18" s="513"/>
      <c r="M18" s="513"/>
      <c r="N18" s="513"/>
      <c r="O18" s="513"/>
      <c r="P18" s="514"/>
      <c r="Q18" s="514"/>
    </row>
    <row r="19" spans="1:22" x14ac:dyDescent="0.25">
      <c r="A19" s="150" t="s">
        <v>876</v>
      </c>
      <c r="B19" s="334"/>
      <c r="C19" s="336" t="s">
        <v>1450</v>
      </c>
      <c r="D19" s="336"/>
      <c r="E19" s="175"/>
      <c r="F19" s="159"/>
      <c r="G19" s="159"/>
      <c r="H19" s="161">
        <v>0</v>
      </c>
      <c r="I19" s="161">
        <v>0</v>
      </c>
      <c r="J19" s="161">
        <v>0</v>
      </c>
      <c r="K19" s="161">
        <v>0</v>
      </c>
      <c r="L19" s="161">
        <v>0</v>
      </c>
      <c r="M19" s="161">
        <v>0</v>
      </c>
      <c r="N19" s="161">
        <v>0</v>
      </c>
      <c r="O19" s="161">
        <v>0</v>
      </c>
      <c r="P19" s="197">
        <f t="shared" ref="P19:Q22" si="1">SUM(H19+J19+L19+N19)</f>
        <v>0</v>
      </c>
      <c r="Q19" s="197">
        <f t="shared" si="1"/>
        <v>0</v>
      </c>
    </row>
    <row r="20" spans="1:22" x14ac:dyDescent="0.25">
      <c r="A20" s="150" t="s">
        <v>878</v>
      </c>
      <c r="B20" s="334"/>
      <c r="C20" s="336" t="s">
        <v>1451</v>
      </c>
      <c r="D20" s="336"/>
      <c r="E20" s="515"/>
      <c r="F20" s="516"/>
      <c r="G20" s="516"/>
      <c r="H20" s="161">
        <v>0</v>
      </c>
      <c r="I20" s="161">
        <v>0</v>
      </c>
      <c r="J20" s="161">
        <v>0</v>
      </c>
      <c r="K20" s="161">
        <v>0</v>
      </c>
      <c r="L20" s="161">
        <v>0</v>
      </c>
      <c r="M20" s="161">
        <v>0</v>
      </c>
      <c r="N20" s="161">
        <v>0</v>
      </c>
      <c r="O20" s="161">
        <v>0</v>
      </c>
      <c r="P20" s="197">
        <f t="shared" si="1"/>
        <v>0</v>
      </c>
      <c r="Q20" s="197">
        <f t="shared" si="1"/>
        <v>0</v>
      </c>
    </row>
    <row r="21" spans="1:22" x14ac:dyDescent="0.25">
      <c r="A21" s="150" t="s">
        <v>880</v>
      </c>
      <c r="B21" s="334"/>
      <c r="C21" s="336" t="s">
        <v>1452</v>
      </c>
      <c r="D21" s="336"/>
      <c r="E21" s="175"/>
      <c r="F21" s="159"/>
      <c r="G21" s="159"/>
      <c r="H21" s="161">
        <v>10</v>
      </c>
      <c r="I21" s="161">
        <v>7</v>
      </c>
      <c r="J21" s="161">
        <v>0</v>
      </c>
      <c r="K21" s="161">
        <v>0</v>
      </c>
      <c r="L21" s="161">
        <v>0</v>
      </c>
      <c r="M21" s="161">
        <v>0</v>
      </c>
      <c r="N21" s="161">
        <v>0</v>
      </c>
      <c r="O21" s="161">
        <v>0</v>
      </c>
      <c r="P21" s="197">
        <f t="shared" si="1"/>
        <v>10</v>
      </c>
      <c r="Q21" s="197">
        <f t="shared" si="1"/>
        <v>7</v>
      </c>
      <c r="R21" s="129" t="s">
        <v>1453</v>
      </c>
      <c r="S21" s="22"/>
      <c r="T21" s="22"/>
      <c r="U21" s="22"/>
      <c r="V21" s="22"/>
    </row>
    <row r="22" spans="1:22" x14ac:dyDescent="0.25">
      <c r="A22" s="150" t="s">
        <v>882</v>
      </c>
      <c r="B22" s="334"/>
      <c r="C22" s="336" t="s">
        <v>1449</v>
      </c>
      <c r="D22" s="336"/>
      <c r="E22" s="517"/>
      <c r="F22" s="518"/>
      <c r="G22" s="518"/>
      <c r="H22" s="161">
        <v>0</v>
      </c>
      <c r="I22" s="161">
        <v>0</v>
      </c>
      <c r="J22" s="161">
        <v>0</v>
      </c>
      <c r="K22" s="161">
        <v>0</v>
      </c>
      <c r="L22" s="161">
        <v>0</v>
      </c>
      <c r="M22" s="161">
        <v>0</v>
      </c>
      <c r="N22" s="161">
        <v>0</v>
      </c>
      <c r="O22" s="161">
        <v>0</v>
      </c>
      <c r="P22" s="197">
        <f t="shared" si="1"/>
        <v>0</v>
      </c>
      <c r="Q22" s="197">
        <f t="shared" si="1"/>
        <v>0</v>
      </c>
      <c r="R22" s="519"/>
    </row>
    <row r="23" spans="1:22" x14ac:dyDescent="0.25">
      <c r="A23" s="150" t="s">
        <v>884</v>
      </c>
      <c r="B23" s="376" t="s">
        <v>1454</v>
      </c>
      <c r="C23" s="377"/>
      <c r="D23" s="520"/>
      <c r="E23" s="222"/>
      <c r="F23" s="222"/>
      <c r="G23" s="222"/>
      <c r="H23" s="521">
        <f t="shared" ref="H23:Q23" si="2">SUM(H19:H22)</f>
        <v>10</v>
      </c>
      <c r="I23" s="521">
        <f t="shared" si="2"/>
        <v>7</v>
      </c>
      <c r="J23" s="521">
        <f t="shared" si="2"/>
        <v>0</v>
      </c>
      <c r="K23" s="521">
        <f t="shared" si="2"/>
        <v>0</v>
      </c>
      <c r="L23" s="521">
        <f t="shared" si="2"/>
        <v>0</v>
      </c>
      <c r="M23" s="521">
        <f t="shared" si="2"/>
        <v>0</v>
      </c>
      <c r="N23" s="521">
        <f t="shared" si="2"/>
        <v>0</v>
      </c>
      <c r="O23" s="521">
        <f t="shared" si="2"/>
        <v>0</v>
      </c>
      <c r="P23" s="172">
        <f t="shared" si="2"/>
        <v>10</v>
      </c>
      <c r="Q23" s="172">
        <f t="shared" si="2"/>
        <v>7</v>
      </c>
      <c r="R23" s="522"/>
    </row>
    <row r="24" spans="1:22" x14ac:dyDescent="0.25">
      <c r="A24" s="150">
        <v>4</v>
      </c>
      <c r="B24" s="326" t="s">
        <v>1455</v>
      </c>
      <c r="C24" s="509"/>
      <c r="D24" s="510"/>
      <c r="E24" s="511"/>
      <c r="F24" s="512"/>
      <c r="G24" s="512"/>
      <c r="H24" s="513"/>
      <c r="I24" s="513"/>
      <c r="J24" s="513"/>
      <c r="K24" s="513"/>
      <c r="L24" s="513"/>
      <c r="M24" s="513"/>
      <c r="N24" s="513"/>
      <c r="O24" s="513"/>
      <c r="P24" s="514"/>
      <c r="Q24" s="514"/>
      <c r="R24" s="522"/>
    </row>
    <row r="25" spans="1:22" x14ac:dyDescent="0.25">
      <c r="A25" s="150" t="s">
        <v>1166</v>
      </c>
      <c r="B25" s="334"/>
      <c r="C25" s="336" t="s">
        <v>1456</v>
      </c>
      <c r="D25" s="336"/>
      <c r="E25" s="159"/>
      <c r="F25" s="159"/>
      <c r="G25" s="159"/>
      <c r="H25" s="161">
        <v>0</v>
      </c>
      <c r="I25" s="161">
        <v>0</v>
      </c>
      <c r="J25" s="161">
        <v>0</v>
      </c>
      <c r="K25" s="161">
        <v>0</v>
      </c>
      <c r="L25" s="161">
        <v>0</v>
      </c>
      <c r="M25" s="161">
        <v>0</v>
      </c>
      <c r="N25" s="161">
        <v>0</v>
      </c>
      <c r="O25" s="161">
        <v>0</v>
      </c>
      <c r="P25" s="197">
        <f t="shared" ref="P25:Q27" si="3">SUM(H25+J25+L25+N25)</f>
        <v>0</v>
      </c>
      <c r="Q25" s="197">
        <f t="shared" si="3"/>
        <v>0</v>
      </c>
      <c r="R25" s="522"/>
    </row>
    <row r="26" spans="1:22" x14ac:dyDescent="0.25">
      <c r="A26" s="150" t="s">
        <v>1168</v>
      </c>
      <c r="B26" s="334"/>
      <c r="C26" s="336" t="s">
        <v>1457</v>
      </c>
      <c r="D26" s="336"/>
      <c r="E26" s="159"/>
      <c r="F26" s="159"/>
      <c r="G26" s="159"/>
      <c r="H26" s="161">
        <v>0</v>
      </c>
      <c r="I26" s="161">
        <v>0</v>
      </c>
      <c r="J26" s="161">
        <v>0</v>
      </c>
      <c r="K26" s="161">
        <v>0</v>
      </c>
      <c r="L26" s="161">
        <v>0</v>
      </c>
      <c r="M26" s="161">
        <v>0</v>
      </c>
      <c r="N26" s="161">
        <v>0</v>
      </c>
      <c r="O26" s="161">
        <v>0</v>
      </c>
      <c r="P26" s="197">
        <f t="shared" si="3"/>
        <v>0</v>
      </c>
      <c r="Q26" s="197">
        <f t="shared" si="3"/>
        <v>0</v>
      </c>
      <c r="R26" s="129" t="s">
        <v>1458</v>
      </c>
    </row>
    <row r="27" spans="1:22" x14ac:dyDescent="0.25">
      <c r="A27" s="150" t="s">
        <v>1170</v>
      </c>
      <c r="B27" s="334"/>
      <c r="C27" s="336" t="s">
        <v>1459</v>
      </c>
      <c r="D27" s="336"/>
      <c r="E27" s="159"/>
      <c r="F27" s="159"/>
      <c r="G27" s="159"/>
      <c r="H27" s="161">
        <v>0</v>
      </c>
      <c r="I27" s="161">
        <v>0</v>
      </c>
      <c r="J27" s="161">
        <v>0</v>
      </c>
      <c r="K27" s="161">
        <v>0</v>
      </c>
      <c r="L27" s="161">
        <v>0</v>
      </c>
      <c r="M27" s="161">
        <v>0</v>
      </c>
      <c r="N27" s="161">
        <v>0</v>
      </c>
      <c r="O27" s="161">
        <v>0</v>
      </c>
      <c r="P27" s="197">
        <f t="shared" si="3"/>
        <v>0</v>
      </c>
      <c r="Q27" s="197">
        <f t="shared" si="3"/>
        <v>0</v>
      </c>
      <c r="R27" s="519"/>
    </row>
    <row r="28" spans="1:22" x14ac:dyDescent="0.25">
      <c r="A28" s="150">
        <v>5</v>
      </c>
      <c r="B28" s="326" t="s">
        <v>1460</v>
      </c>
      <c r="C28" s="509"/>
      <c r="D28" s="510"/>
      <c r="E28" s="511"/>
      <c r="F28" s="512"/>
      <c r="G28" s="512"/>
      <c r="H28" s="513"/>
      <c r="I28" s="513"/>
      <c r="J28" s="513"/>
      <c r="K28" s="513"/>
      <c r="L28" s="513"/>
      <c r="M28" s="513"/>
      <c r="N28" s="513"/>
      <c r="O28" s="513"/>
      <c r="P28" s="514"/>
      <c r="Q28" s="514"/>
      <c r="R28" s="522"/>
    </row>
    <row r="29" spans="1:22" x14ac:dyDescent="0.25">
      <c r="A29" s="150" t="s">
        <v>962</v>
      </c>
      <c r="B29" s="334"/>
      <c r="C29" s="336" t="s">
        <v>1461</v>
      </c>
      <c r="D29" s="336"/>
      <c r="E29" s="159"/>
      <c r="F29" s="159"/>
      <c r="G29" s="159"/>
      <c r="H29" s="161">
        <v>0</v>
      </c>
      <c r="I29" s="161">
        <v>0</v>
      </c>
      <c r="J29" s="161">
        <v>0</v>
      </c>
      <c r="K29" s="161">
        <v>0</v>
      </c>
      <c r="L29" s="161">
        <v>0</v>
      </c>
      <c r="M29" s="161">
        <v>0</v>
      </c>
      <c r="N29" s="161">
        <v>0</v>
      </c>
      <c r="O29" s="161">
        <v>0</v>
      </c>
      <c r="P29" s="197">
        <f t="shared" ref="P29:Q32" si="4">SUM(H29+J29+L29+N29)</f>
        <v>0</v>
      </c>
      <c r="Q29" s="197">
        <f t="shared" si="4"/>
        <v>0</v>
      </c>
      <c r="R29" s="522"/>
    </row>
    <row r="30" spans="1:22" x14ac:dyDescent="0.25">
      <c r="A30" s="150" t="s">
        <v>964</v>
      </c>
      <c r="B30" s="334"/>
      <c r="C30" s="336" t="s">
        <v>1462</v>
      </c>
      <c r="D30" s="336"/>
      <c r="E30" s="159"/>
      <c r="F30" s="159"/>
      <c r="G30" s="159"/>
      <c r="H30" s="161">
        <v>0</v>
      </c>
      <c r="I30" s="161">
        <v>0</v>
      </c>
      <c r="J30" s="161">
        <v>0</v>
      </c>
      <c r="K30" s="161">
        <v>0</v>
      </c>
      <c r="L30" s="161">
        <v>0</v>
      </c>
      <c r="M30" s="161">
        <v>0</v>
      </c>
      <c r="N30" s="161">
        <v>0</v>
      </c>
      <c r="O30" s="161">
        <v>0</v>
      </c>
      <c r="P30" s="197">
        <f t="shared" si="4"/>
        <v>0</v>
      </c>
      <c r="Q30" s="197">
        <f t="shared" si="4"/>
        <v>0</v>
      </c>
      <c r="R30" s="522"/>
    </row>
    <row r="31" spans="1:22" x14ac:dyDescent="0.25">
      <c r="A31" s="150" t="s">
        <v>966</v>
      </c>
      <c r="B31" s="334"/>
      <c r="C31" s="336" t="s">
        <v>1463</v>
      </c>
      <c r="D31" s="336"/>
      <c r="E31" s="159"/>
      <c r="F31" s="159"/>
      <c r="G31" s="159"/>
      <c r="H31" s="161">
        <v>0</v>
      </c>
      <c r="I31" s="161">
        <v>0</v>
      </c>
      <c r="J31" s="161">
        <v>0</v>
      </c>
      <c r="K31" s="161">
        <v>0</v>
      </c>
      <c r="L31" s="161">
        <v>0</v>
      </c>
      <c r="M31" s="161">
        <v>0</v>
      </c>
      <c r="N31" s="161">
        <v>0</v>
      </c>
      <c r="O31" s="161">
        <v>0</v>
      </c>
      <c r="P31" s="197">
        <f t="shared" si="4"/>
        <v>0</v>
      </c>
      <c r="Q31" s="197">
        <f t="shared" si="4"/>
        <v>0</v>
      </c>
      <c r="R31" s="129" t="s">
        <v>1464</v>
      </c>
    </row>
    <row r="32" spans="1:22" x14ac:dyDescent="0.25">
      <c r="A32" s="150" t="s">
        <v>968</v>
      </c>
      <c r="B32" s="334"/>
      <c r="C32" s="336" t="s">
        <v>1460</v>
      </c>
      <c r="D32" s="336"/>
      <c r="E32" s="159"/>
      <c r="F32" s="159"/>
      <c r="G32" s="159"/>
      <c r="H32" s="161">
        <v>0</v>
      </c>
      <c r="I32" s="161">
        <v>0</v>
      </c>
      <c r="J32" s="161">
        <v>0</v>
      </c>
      <c r="K32" s="161">
        <v>0</v>
      </c>
      <c r="L32" s="161">
        <v>0</v>
      </c>
      <c r="M32" s="161">
        <v>0</v>
      </c>
      <c r="N32" s="161">
        <v>0</v>
      </c>
      <c r="O32" s="161">
        <v>0</v>
      </c>
      <c r="P32" s="197">
        <f t="shared" si="4"/>
        <v>0</v>
      </c>
      <c r="Q32" s="197">
        <f t="shared" si="4"/>
        <v>0</v>
      </c>
      <c r="R32" s="519"/>
    </row>
    <row r="33" spans="1:28" x14ac:dyDescent="0.25">
      <c r="A33" s="150">
        <v>6</v>
      </c>
      <c r="B33" s="523" t="s">
        <v>1465</v>
      </c>
      <c r="C33" s="524"/>
      <c r="D33" s="520"/>
      <c r="E33" s="222"/>
      <c r="F33" s="222"/>
      <c r="G33" s="222"/>
      <c r="H33" s="521">
        <f t="shared" ref="H33:Q33" si="5">SUM(H10:H17,H23,H25:H27,H29:H32)</f>
        <v>403</v>
      </c>
      <c r="I33" s="521">
        <f t="shared" si="5"/>
        <v>204</v>
      </c>
      <c r="J33" s="521">
        <f t="shared" si="5"/>
        <v>0</v>
      </c>
      <c r="K33" s="521">
        <f t="shared" si="5"/>
        <v>0</v>
      </c>
      <c r="L33" s="521">
        <f t="shared" si="5"/>
        <v>0</v>
      </c>
      <c r="M33" s="521">
        <f t="shared" si="5"/>
        <v>0</v>
      </c>
      <c r="N33" s="521">
        <f t="shared" si="5"/>
        <v>0</v>
      </c>
      <c r="O33" s="521">
        <f t="shared" si="5"/>
        <v>0</v>
      </c>
      <c r="P33" s="521">
        <f t="shared" si="5"/>
        <v>403</v>
      </c>
      <c r="Q33" s="521">
        <f t="shared" si="5"/>
        <v>204</v>
      </c>
    </row>
    <row r="34" spans="1:28" x14ac:dyDescent="0.25">
      <c r="A34" s="150"/>
      <c r="B34" s="525"/>
      <c r="C34" s="526"/>
      <c r="D34" s="527"/>
      <c r="E34" s="159"/>
      <c r="F34" s="159"/>
      <c r="G34" s="159"/>
      <c r="H34" s="528"/>
      <c r="I34" s="528"/>
      <c r="J34" s="528"/>
      <c r="K34" s="528"/>
      <c r="L34" s="528"/>
      <c r="M34" s="528"/>
      <c r="N34" s="528"/>
      <c r="O34" s="528"/>
      <c r="P34" s="528"/>
      <c r="Q34" s="529"/>
    </row>
    <row r="35" spans="1:28" x14ac:dyDescent="0.25">
      <c r="A35" s="150">
        <v>7</v>
      </c>
      <c r="B35" s="336" t="s">
        <v>1466</v>
      </c>
      <c r="C35" s="335"/>
      <c r="D35" s="336"/>
      <c r="E35" s="334"/>
      <c r="F35" s="335"/>
      <c r="G35" s="336"/>
      <c r="H35" s="161" t="s">
        <v>154</v>
      </c>
      <c r="I35" s="161" t="s">
        <v>154</v>
      </c>
      <c r="J35" s="161" t="s">
        <v>155</v>
      </c>
      <c r="K35" s="161" t="s">
        <v>155</v>
      </c>
      <c r="L35" s="161" t="s">
        <v>155</v>
      </c>
      <c r="M35" s="161" t="s">
        <v>155</v>
      </c>
      <c r="N35" s="161" t="s">
        <v>155</v>
      </c>
      <c r="O35" s="161" t="s">
        <v>155</v>
      </c>
      <c r="P35" s="659" t="s">
        <v>1438</v>
      </c>
      <c r="Q35" s="660"/>
      <c r="R35" s="530"/>
      <c r="S35" s="531">
        <f t="shared" ref="S35:Z36" si="6">IF(H35="Yes",1,0)</f>
        <v>1</v>
      </c>
      <c r="T35" s="531">
        <f t="shared" si="6"/>
        <v>1</v>
      </c>
      <c r="U35" s="531">
        <f t="shared" si="6"/>
        <v>0</v>
      </c>
      <c r="V35" s="531">
        <f t="shared" si="6"/>
        <v>0</v>
      </c>
      <c r="W35" s="531">
        <f t="shared" si="6"/>
        <v>0</v>
      </c>
      <c r="X35" s="531">
        <f t="shared" si="6"/>
        <v>0</v>
      </c>
      <c r="Y35" s="531">
        <f t="shared" si="6"/>
        <v>0</v>
      </c>
      <c r="Z35" s="531">
        <f t="shared" si="6"/>
        <v>0</v>
      </c>
    </row>
    <row r="36" spans="1:28" x14ac:dyDescent="0.25">
      <c r="A36" s="150">
        <v>8</v>
      </c>
      <c r="B36" s="336" t="s">
        <v>1467</v>
      </c>
      <c r="C36" s="335"/>
      <c r="D36" s="336"/>
      <c r="E36" s="334"/>
      <c r="F36" s="335"/>
      <c r="G36" s="336"/>
      <c r="H36" s="161" t="s">
        <v>155</v>
      </c>
      <c r="I36" s="161" t="s">
        <v>155</v>
      </c>
      <c r="J36" s="161" t="s">
        <v>155</v>
      </c>
      <c r="K36" s="161" t="s">
        <v>155</v>
      </c>
      <c r="L36" s="161" t="s">
        <v>155</v>
      </c>
      <c r="M36" s="161" t="s">
        <v>155</v>
      </c>
      <c r="N36" s="161" t="s">
        <v>155</v>
      </c>
      <c r="O36" s="161" t="s">
        <v>155</v>
      </c>
      <c r="P36" s="659" t="s">
        <v>1438</v>
      </c>
      <c r="Q36" s="660"/>
      <c r="S36" s="531">
        <f t="shared" si="6"/>
        <v>0</v>
      </c>
      <c r="T36" s="531">
        <f t="shared" si="6"/>
        <v>0</v>
      </c>
      <c r="U36" s="531">
        <f t="shared" si="6"/>
        <v>0</v>
      </c>
      <c r="V36" s="531">
        <f t="shared" si="6"/>
        <v>0</v>
      </c>
      <c r="W36" s="531">
        <f t="shared" si="6"/>
        <v>0</v>
      </c>
      <c r="X36" s="531">
        <f t="shared" si="6"/>
        <v>0</v>
      </c>
      <c r="Y36" s="531">
        <f t="shared" si="6"/>
        <v>0</v>
      </c>
      <c r="Z36" s="531">
        <f t="shared" si="6"/>
        <v>0</v>
      </c>
    </row>
    <row r="37" spans="1:28" x14ac:dyDescent="0.25">
      <c r="A37" s="532"/>
      <c r="B37" s="525"/>
      <c r="C37" s="526"/>
      <c r="D37" s="527"/>
      <c r="E37" s="159"/>
      <c r="F37" s="159"/>
      <c r="G37" s="159"/>
      <c r="H37" s="528"/>
      <c r="I37" s="528"/>
      <c r="J37" s="528"/>
      <c r="K37" s="528"/>
      <c r="L37" s="528"/>
      <c r="M37" s="528"/>
      <c r="N37" s="528"/>
      <c r="O37" s="528"/>
      <c r="P37" s="528"/>
      <c r="Q37" s="529"/>
    </row>
    <row r="38" spans="1:28" ht="149.25" customHeight="1" x14ac:dyDescent="0.25">
      <c r="A38" s="533">
        <v>9</v>
      </c>
      <c r="B38" s="670" t="s">
        <v>1468</v>
      </c>
      <c r="C38" s="671"/>
      <c r="D38" s="534"/>
      <c r="E38" s="534"/>
      <c r="F38" s="534"/>
      <c r="G38" s="534"/>
      <c r="H38" s="672" t="s">
        <v>1469</v>
      </c>
      <c r="I38" s="673"/>
      <c r="J38" s="673"/>
      <c r="K38" s="673"/>
      <c r="L38" s="673"/>
      <c r="M38" s="673"/>
      <c r="N38" s="673"/>
      <c r="O38" s="673"/>
      <c r="P38" s="673"/>
      <c r="Q38" s="674"/>
      <c r="R38"/>
      <c r="S38"/>
      <c r="T38"/>
      <c r="U38"/>
      <c r="V38"/>
      <c r="W38"/>
      <c r="X38"/>
      <c r="Y38"/>
      <c r="Z38"/>
      <c r="AA38"/>
      <c r="AB38" s="531">
        <f>IF(OR(H38="Text box", H38=""),0,1)</f>
        <v>0</v>
      </c>
    </row>
    <row r="39" spans="1:28" ht="14.25" customHeight="1" x14ac:dyDescent="0.25">
      <c r="A39" s="535"/>
      <c r="B39" s="536"/>
      <c r="C39" s="536"/>
      <c r="D39" s="537"/>
      <c r="E39" s="536"/>
      <c r="F39" s="536"/>
      <c r="G39" s="537"/>
      <c r="H39" s="190"/>
      <c r="I39" s="190"/>
      <c r="J39" s="190"/>
      <c r="K39" s="190"/>
      <c r="L39" s="190"/>
      <c r="M39" s="190"/>
      <c r="N39" s="190"/>
      <c r="O39" s="190"/>
      <c r="P39" s="190"/>
      <c r="Q39" s="190"/>
      <c r="R39"/>
      <c r="S39"/>
      <c r="T39"/>
      <c r="U39"/>
      <c r="V39"/>
      <c r="W39"/>
      <c r="X39"/>
      <c r="Y39"/>
      <c r="Z39"/>
      <c r="AA39"/>
      <c r="AB39"/>
    </row>
    <row r="40" spans="1:28" x14ac:dyDescent="0.25">
      <c r="A40" s="150">
        <v>10</v>
      </c>
      <c r="B40" s="538" t="s">
        <v>1470</v>
      </c>
      <c r="C40" s="539"/>
      <c r="D40" s="540"/>
      <c r="E40" s="540"/>
      <c r="F40" s="540"/>
      <c r="G40" s="540"/>
      <c r="H40" s="513"/>
      <c r="I40" s="513"/>
      <c r="J40" s="513"/>
      <c r="K40" s="513"/>
      <c r="L40" s="513"/>
      <c r="M40" s="513"/>
      <c r="N40" s="513"/>
      <c r="O40" s="513"/>
    </row>
    <row r="41" spans="1:28" x14ac:dyDescent="0.25">
      <c r="A41" s="150"/>
      <c r="B41" s="653" t="s">
        <v>1471</v>
      </c>
      <c r="C41" s="654"/>
      <c r="D41" s="654"/>
      <c r="E41" s="654"/>
      <c r="F41" s="654"/>
      <c r="G41" s="654"/>
      <c r="H41" s="654"/>
      <c r="I41" s="655"/>
      <c r="J41" s="655"/>
      <c r="K41" s="655"/>
      <c r="L41" s="655"/>
      <c r="M41" s="655"/>
      <c r="N41" s="655"/>
      <c r="O41" s="656"/>
    </row>
    <row r="42" spans="1:28" x14ac:dyDescent="0.25">
      <c r="A42" s="150" t="s">
        <v>909</v>
      </c>
      <c r="B42" s="334"/>
      <c r="C42" s="2" t="s">
        <v>1472</v>
      </c>
      <c r="D42" s="2"/>
      <c r="E42" s="2"/>
      <c r="F42" s="2"/>
      <c r="G42" s="2"/>
      <c r="H42" s="541">
        <v>9.6</v>
      </c>
      <c r="I42" s="541">
        <v>9.9</v>
      </c>
      <c r="J42" s="541">
        <v>0</v>
      </c>
      <c r="K42" s="541">
        <v>0</v>
      </c>
      <c r="L42" s="541">
        <v>0</v>
      </c>
      <c r="M42" s="541">
        <v>0</v>
      </c>
      <c r="N42" s="541">
        <v>0</v>
      </c>
      <c r="O42" s="541">
        <v>0</v>
      </c>
    </row>
    <row r="43" spans="1:28" x14ac:dyDescent="0.25">
      <c r="A43" s="150" t="s">
        <v>911</v>
      </c>
      <c r="B43" s="334"/>
      <c r="C43" s="2" t="s">
        <v>1473</v>
      </c>
      <c r="D43" s="2"/>
      <c r="E43" s="2"/>
      <c r="F43" s="2"/>
      <c r="G43" s="2"/>
      <c r="H43" s="541">
        <v>11.3</v>
      </c>
      <c r="I43" s="541">
        <v>11.5</v>
      </c>
      <c r="J43" s="541">
        <v>0</v>
      </c>
      <c r="K43" s="541">
        <v>0</v>
      </c>
      <c r="L43" s="541">
        <v>0</v>
      </c>
      <c r="M43" s="541">
        <v>0</v>
      </c>
      <c r="N43" s="541">
        <v>0</v>
      </c>
      <c r="O43" s="541">
        <v>0</v>
      </c>
    </row>
    <row r="44" spans="1:28" x14ac:dyDescent="0.25">
      <c r="A44" s="535"/>
      <c r="B44" s="536"/>
      <c r="C44" s="536"/>
      <c r="D44" s="190"/>
      <c r="E44" s="190"/>
      <c r="F44" s="190"/>
      <c r="G44" s="190"/>
      <c r="H44" s="190"/>
      <c r="I44" s="129"/>
      <c r="J44" s="129"/>
      <c r="K44" s="129"/>
      <c r="L44" s="129"/>
      <c r="M44" s="129"/>
      <c r="N44" s="129"/>
      <c r="O44" s="129"/>
      <c r="P44" s="129"/>
      <c r="Q44" s="129"/>
    </row>
  </sheetData>
  <sheetProtection algorithmName="SHA-512" hashValue="s+L/t+7slc2DdKI8M9rkk5suVgQDrd72JZMZK7pE3MPiqK7RMoOTt5q4gGdJkq88Mxb9Kgs0h461nbDZeuAi3Q==" saltValue="JamMfkB170wHhA6yPO5kRA==" spinCount="100000" sheet="1" objects="1" scenarios="1"/>
  <mergeCells count="34">
    <mergeCell ref="H38:Q38"/>
    <mergeCell ref="N3:O3"/>
    <mergeCell ref="N6:O6"/>
    <mergeCell ref="N7:O7"/>
    <mergeCell ref="J3:K3"/>
    <mergeCell ref="J6:K6"/>
    <mergeCell ref="J7:K7"/>
    <mergeCell ref="J8:K8"/>
    <mergeCell ref="L7:M7"/>
    <mergeCell ref="L8:M8"/>
    <mergeCell ref="U3:V3"/>
    <mergeCell ref="W3:X3"/>
    <mergeCell ref="Y3:Z3"/>
    <mergeCell ref="P35:Q35"/>
    <mergeCell ref="P3:Q3"/>
    <mergeCell ref="P6:Q6"/>
    <mergeCell ref="P7:Q7"/>
    <mergeCell ref="S3:T3"/>
    <mergeCell ref="B41:O41"/>
    <mergeCell ref="N8:O8"/>
    <mergeCell ref="P8:Q8"/>
    <mergeCell ref="B1:G1"/>
    <mergeCell ref="H1:L2"/>
    <mergeCell ref="H3:I3"/>
    <mergeCell ref="H6:I6"/>
    <mergeCell ref="L3:M3"/>
    <mergeCell ref="L6:M6"/>
    <mergeCell ref="A2:E2"/>
    <mergeCell ref="B3:C3"/>
    <mergeCell ref="B4:C4"/>
    <mergeCell ref="B38:C38"/>
    <mergeCell ref="P36:Q36"/>
    <mergeCell ref="H7:I7"/>
    <mergeCell ref="H8:I8"/>
  </mergeCells>
  <dataValidations count="9">
    <dataValidation type="whole" operator="greaterThan" allowBlank="1" showInputMessage="1" showErrorMessage="1" errorTitle="Whole numbers only allowed" error="All monies should be independently rounded to the nearest £1,000." sqref="H10:O17">
      <formula1>-99999999</formula1>
    </dataValidation>
    <dataValidation type="whole" operator="greaterThan" allowBlank="1" showInputMessage="1" showErrorMessage="1" errorTitle="Whole numbers only allowed" error="All monies should be independently rounded to the nearest £1,000." sqref="H19:O22">
      <formula1>-99999999</formula1>
    </dataValidation>
    <dataValidation type="whole" operator="greaterThan" allowBlank="1" showInputMessage="1" showErrorMessage="1" errorTitle="Whole numbers only allowed" error="All monies should be independently rounded to the nearest £1,000." sqref="H25:O27">
      <formula1>-99999999</formula1>
    </dataValidation>
    <dataValidation type="whole" operator="greaterThan" allowBlank="1" showInputMessage="1" showErrorMessage="1" errorTitle="Whole numbers only allowed" error="All monies should be independently rounded to the nearest £1,000." sqref="H29:O32">
      <formula1>-99999999</formula1>
    </dataValidation>
    <dataValidation type="decimal" operator="greaterThan" allowBlank="1" showInputMessage="1" showErrorMessage="1" errorTitle="Numeric values only allowed" error="Numeric values only" sqref="H42:O43">
      <formula1>-99999999</formula1>
    </dataValidation>
    <dataValidation type="date" operator="greaterThan" allowBlank="1" showInputMessage="1" showErrorMessage="1" errorTitle="Valid date" error="Please enter a valid date." sqref="H7:O8">
      <formula1>6576</formula1>
    </dataValidation>
    <dataValidation type="textLength" allowBlank="1" showInputMessage="1" showErrorMessage="1" promptTitle="Maximum 250 characters" sqref="R32">
      <formula1>0</formula1>
      <formula2>250</formula2>
    </dataValidation>
    <dataValidation type="textLength" allowBlank="1" showInputMessage="1" showErrorMessage="1" promptTitle="Maximum 250 characters" sqref="R27">
      <formula1>0</formula1>
      <formula2>250</formula2>
    </dataValidation>
    <dataValidation type="textLength" allowBlank="1" showInputMessage="1" showErrorMessage="1" promptTitle="Maximum 250 characters" sqref="R22">
      <formula1>0</formula1>
      <formula2>250</formula2>
    </dataValidation>
  </dataValidations>
  <printOptions headings="1" gridLines="1"/>
  <pageMargins left="0.11811023622047245" right="0.11811023622047245" top="0.74803149606299213" bottom="0.74803149606299213" header="0.31496062992125984" footer="0.31496062992125984"/>
  <pageSetup paperSize="8" scale="36" orientation="landscape" r:id="rId1"/>
  <headerFooter>
    <oddHeader>&amp;A</oddHeader>
    <oddFooter>&amp;F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'Hide_me(drop_downs)'!$A$2:$A$3</xm:f>
          </x14:formula1>
          <xm:sqref>H35:O36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J163"/>
  <sheetViews>
    <sheetView zoomScale="90" zoomScaleNormal="90" workbookViewId="0">
      <pane ySplit="20" topLeftCell="A161" activePane="bottomLeft" state="frozenSplit"/>
      <selection pane="bottomLeft" activeCell="H23" sqref="H23"/>
    </sheetView>
  </sheetViews>
  <sheetFormatPr defaultColWidth="10" defaultRowHeight="15" x14ac:dyDescent="0.25"/>
  <cols>
    <col min="1" max="1" width="12.5703125" style="3" customWidth="1"/>
    <col min="2" max="2" width="4.140625" style="3" customWidth="1"/>
    <col min="3" max="3" width="11.140625" style="3" customWidth="1"/>
    <col min="4" max="4" width="56.42578125" style="3" customWidth="1"/>
    <col min="5" max="7" width="48.28515625" style="3" hidden="1" customWidth="1"/>
    <col min="8" max="8" width="28.140625" style="3" customWidth="1"/>
    <col min="9" max="9" width="29.7109375" style="3" customWidth="1"/>
    <col min="10" max="10" width="28.85546875" style="3" hidden="1" customWidth="1"/>
  </cols>
  <sheetData>
    <row r="1" spans="1:10" ht="30" customHeight="1" x14ac:dyDescent="0.25">
      <c r="A1" s="542" t="s">
        <v>1474</v>
      </c>
      <c r="B1" s="131" t="s">
        <v>1475</v>
      </c>
      <c r="C1" s="131"/>
      <c r="D1" s="131"/>
      <c r="E1" s="131"/>
      <c r="F1" s="131"/>
      <c r="G1" s="131"/>
      <c r="H1" s="497"/>
      <c r="I1" s="133" t="s">
        <v>780</v>
      </c>
      <c r="J1" s="133" t="s">
        <v>780</v>
      </c>
    </row>
    <row r="2" spans="1:10" ht="45.95" customHeight="1" x14ac:dyDescent="0.25">
      <c r="A2" s="543"/>
      <c r="B2" s="207"/>
      <c r="C2" s="207"/>
      <c r="D2" s="207"/>
      <c r="E2" s="207"/>
      <c r="F2" s="207"/>
      <c r="G2" s="207"/>
      <c r="H2" s="500"/>
      <c r="I2" s="139" t="s">
        <v>781</v>
      </c>
      <c r="J2" s="139" t="s">
        <v>782</v>
      </c>
    </row>
    <row r="3" spans="1:10" ht="44.25" customHeight="1" x14ac:dyDescent="0.25">
      <c r="A3" s="544"/>
      <c r="B3" s="142"/>
      <c r="C3" s="142"/>
      <c r="D3" s="142"/>
      <c r="E3" s="142"/>
      <c r="F3" s="142"/>
      <c r="G3" s="142"/>
      <c r="H3" s="26" t="str">
        <f>'Hide_me(drop_downs)'!I1</f>
        <v>Year ended 31 July 2019</v>
      </c>
      <c r="I3" s="27" t="str">
        <f>'Hide_me(drop_downs)'!J1</f>
        <v>Year ended 31 July 2018</v>
      </c>
      <c r="J3" s="27" t="str">
        <f>'Hide_me(drop_downs)'!J1</f>
        <v>Year ended 31 July 2018</v>
      </c>
    </row>
    <row r="4" spans="1:10" ht="15.4" customHeight="1" x14ac:dyDescent="0.25">
      <c r="A4" s="545"/>
      <c r="B4" s="146"/>
      <c r="C4" s="146"/>
      <c r="D4" s="146"/>
      <c r="E4" s="146"/>
      <c r="F4" s="146"/>
      <c r="G4" s="146"/>
      <c r="H4" s="148" t="s">
        <v>784</v>
      </c>
      <c r="I4" s="148" t="s">
        <v>784</v>
      </c>
      <c r="J4" s="148" t="s">
        <v>784</v>
      </c>
    </row>
    <row r="5" spans="1:10" x14ac:dyDescent="0.25">
      <c r="A5" s="150">
        <v>1</v>
      </c>
      <c r="B5" s="675" t="s">
        <v>805</v>
      </c>
      <c r="C5" s="676"/>
      <c r="D5" s="676"/>
      <c r="E5" s="326"/>
      <c r="F5" s="326"/>
      <c r="G5" s="326"/>
      <c r="H5" s="546"/>
      <c r="I5" s="547"/>
      <c r="J5" s="547" t="s">
        <v>1476</v>
      </c>
    </row>
    <row r="6" spans="1:10" x14ac:dyDescent="0.25">
      <c r="A6" s="150" t="s">
        <v>789</v>
      </c>
      <c r="B6" s="174" t="s">
        <v>1477</v>
      </c>
      <c r="C6" s="158"/>
      <c r="D6" s="159"/>
      <c r="E6" s="159"/>
      <c r="F6" s="159"/>
      <c r="G6" s="159"/>
      <c r="H6" s="161">
        <v>409827</v>
      </c>
      <c r="I6" s="161">
        <v>385714</v>
      </c>
      <c r="J6" s="161">
        <v>385714</v>
      </c>
    </row>
    <row r="7" spans="1:10" x14ac:dyDescent="0.25">
      <c r="A7" s="150" t="s">
        <v>791</v>
      </c>
      <c r="B7" s="174" t="s">
        <v>1478</v>
      </c>
      <c r="C7" s="158"/>
      <c r="D7" s="159"/>
      <c r="E7" s="159"/>
      <c r="F7" s="159"/>
      <c r="G7" s="159"/>
      <c r="H7" s="161">
        <v>43267</v>
      </c>
      <c r="I7" s="161">
        <v>40816</v>
      </c>
      <c r="J7" s="161">
        <v>40816</v>
      </c>
    </row>
    <row r="8" spans="1:10" x14ac:dyDescent="0.25">
      <c r="A8" s="150" t="s">
        <v>793</v>
      </c>
      <c r="B8" s="174" t="s">
        <v>1479</v>
      </c>
      <c r="C8" s="158"/>
      <c r="D8" s="159"/>
      <c r="E8" s="159"/>
      <c r="F8" s="159"/>
      <c r="G8" s="159"/>
      <c r="H8" s="161">
        <v>103777</v>
      </c>
      <c r="I8" s="161">
        <v>92766</v>
      </c>
      <c r="J8" s="161">
        <v>92766</v>
      </c>
    </row>
    <row r="9" spans="1:10" x14ac:dyDescent="0.25">
      <c r="A9" s="150" t="s">
        <v>795</v>
      </c>
      <c r="B9" s="174" t="s">
        <v>1480</v>
      </c>
      <c r="C9" s="158"/>
      <c r="D9" s="159"/>
      <c r="E9" s="159"/>
      <c r="F9" s="159"/>
      <c r="G9" s="159"/>
      <c r="H9" s="161">
        <v>0</v>
      </c>
      <c r="I9" s="161">
        <v>0</v>
      </c>
      <c r="J9" s="161">
        <v>0</v>
      </c>
    </row>
    <row r="10" spans="1:10" x14ac:dyDescent="0.25">
      <c r="A10" s="150" t="s">
        <v>797</v>
      </c>
      <c r="B10" s="174" t="s">
        <v>1481</v>
      </c>
      <c r="C10" s="158"/>
      <c r="D10" s="159"/>
      <c r="E10" s="159"/>
      <c r="F10" s="159"/>
      <c r="G10" s="159"/>
      <c r="H10" s="161">
        <v>0</v>
      </c>
      <c r="I10" s="161">
        <v>0</v>
      </c>
      <c r="J10" s="161">
        <v>0</v>
      </c>
    </row>
    <row r="11" spans="1:10" x14ac:dyDescent="0.25">
      <c r="A11" s="150" t="s">
        <v>799</v>
      </c>
      <c r="B11" s="174" t="s">
        <v>1482</v>
      </c>
      <c r="C11" s="158"/>
      <c r="D11" s="159"/>
      <c r="E11" s="159"/>
      <c r="F11" s="159"/>
      <c r="G11" s="159"/>
      <c r="H11" s="161">
        <v>0</v>
      </c>
      <c r="I11" s="161">
        <v>0</v>
      </c>
      <c r="J11" s="161">
        <v>0</v>
      </c>
    </row>
    <row r="12" spans="1:10" x14ac:dyDescent="0.25">
      <c r="A12" s="150" t="s">
        <v>801</v>
      </c>
      <c r="B12" s="174" t="s">
        <v>1483</v>
      </c>
      <c r="C12" s="158"/>
      <c r="D12" s="159"/>
      <c r="E12" s="159"/>
      <c r="F12" s="159"/>
      <c r="G12" s="159"/>
      <c r="H12" s="161">
        <v>195209</v>
      </c>
      <c r="I12" s="161">
        <v>-666</v>
      </c>
      <c r="J12" s="161">
        <v>-666</v>
      </c>
    </row>
    <row r="13" spans="1:10" x14ac:dyDescent="0.25">
      <c r="A13" s="150" t="s">
        <v>861</v>
      </c>
      <c r="B13" s="174" t="s">
        <v>1484</v>
      </c>
      <c r="C13" s="158"/>
      <c r="D13" s="159"/>
      <c r="E13" s="159"/>
      <c r="F13" s="159"/>
      <c r="G13" s="159"/>
      <c r="H13" s="161">
        <v>4050</v>
      </c>
      <c r="I13" s="161">
        <v>2743</v>
      </c>
      <c r="J13" s="161">
        <v>2743</v>
      </c>
    </row>
    <row r="14" spans="1:10" x14ac:dyDescent="0.25">
      <c r="A14" s="150" t="s">
        <v>863</v>
      </c>
      <c r="B14" s="169" t="s">
        <v>1485</v>
      </c>
      <c r="C14" s="222"/>
      <c r="D14" s="222"/>
      <c r="E14" s="222"/>
      <c r="F14" s="222"/>
      <c r="G14" s="222"/>
      <c r="H14" s="172">
        <f>SUM(H6:H13)</f>
        <v>756130</v>
      </c>
      <c r="I14" s="172">
        <f>SUM(I6:I13)</f>
        <v>521373</v>
      </c>
      <c r="J14" s="172">
        <f>SUM(J6:J13)</f>
        <v>521373</v>
      </c>
    </row>
    <row r="15" spans="1:10" x14ac:dyDescent="0.25">
      <c r="A15" s="150"/>
      <c r="B15" s="548"/>
      <c r="C15" s="548"/>
      <c r="D15" s="548"/>
      <c r="E15" s="548"/>
      <c r="F15" s="548"/>
      <c r="G15" s="548"/>
      <c r="H15" s="549"/>
      <c r="I15" s="526"/>
      <c r="J15" s="526"/>
    </row>
    <row r="16" spans="1:10" x14ac:dyDescent="0.25">
      <c r="A16" s="150">
        <v>2</v>
      </c>
      <c r="B16" s="675" t="s">
        <v>1486</v>
      </c>
      <c r="C16" s="676"/>
      <c r="D16" s="676"/>
      <c r="E16" s="326"/>
      <c r="F16" s="326"/>
      <c r="G16" s="326"/>
      <c r="H16" s="546" t="s">
        <v>1476</v>
      </c>
      <c r="I16" s="547" t="s">
        <v>1476</v>
      </c>
      <c r="J16" s="547" t="s">
        <v>1476</v>
      </c>
    </row>
    <row r="17" spans="1:10" x14ac:dyDescent="0.25">
      <c r="A17" s="150" t="s">
        <v>804</v>
      </c>
      <c r="B17" s="174"/>
      <c r="C17" s="2" t="s">
        <v>1487</v>
      </c>
      <c r="D17" s="159"/>
      <c r="E17" s="159"/>
      <c r="F17" s="159"/>
      <c r="G17" s="159"/>
      <c r="H17" s="550">
        <v>10964</v>
      </c>
      <c r="I17" s="550">
        <v>10454</v>
      </c>
      <c r="J17" s="550">
        <v>10454</v>
      </c>
    </row>
    <row r="18" spans="1:10" x14ac:dyDescent="0.25">
      <c r="A18" s="150"/>
      <c r="B18" s="551"/>
      <c r="C18" s="552"/>
      <c r="D18" s="439"/>
      <c r="I18" s="553"/>
      <c r="J18" s="553"/>
    </row>
    <row r="19" spans="1:10" ht="30.4" customHeight="1" x14ac:dyDescent="0.25">
      <c r="A19" s="150">
        <v>3</v>
      </c>
      <c r="B19" s="677" t="s">
        <v>1488</v>
      </c>
      <c r="C19" s="678"/>
      <c r="D19" s="678"/>
      <c r="E19" s="512"/>
      <c r="F19" s="512"/>
      <c r="G19" s="512"/>
      <c r="H19" s="554" t="s">
        <v>1489</v>
      </c>
      <c r="I19" s="554" t="s">
        <v>1489</v>
      </c>
      <c r="J19" s="554" t="s">
        <v>1489</v>
      </c>
    </row>
    <row r="20" spans="1:10" ht="15.4" customHeight="1" x14ac:dyDescent="0.25">
      <c r="A20" s="150" t="s">
        <v>876</v>
      </c>
      <c r="B20" s="170" t="s">
        <v>1490</v>
      </c>
      <c r="C20" s="227"/>
      <c r="D20" s="222"/>
      <c r="E20" s="222"/>
      <c r="F20" s="222"/>
      <c r="G20" s="222"/>
      <c r="H20" s="459">
        <f>SUM(H23:H163)</f>
        <v>0</v>
      </c>
      <c r="I20" s="459">
        <f>SUM(I23:I163)</f>
        <v>0</v>
      </c>
      <c r="J20" s="459">
        <f>SUM(J23:J163)</f>
        <v>0</v>
      </c>
    </row>
    <row r="21" spans="1:10" x14ac:dyDescent="0.25">
      <c r="A21" s="150"/>
      <c r="B21" s="555"/>
      <c r="C21" s="556"/>
      <c r="D21" s="557"/>
      <c r="E21" s="522"/>
      <c r="F21" s="522"/>
      <c r="G21" s="522"/>
      <c r="H21" s="522"/>
      <c r="I21" s="558"/>
      <c r="J21" s="558"/>
    </row>
    <row r="22" spans="1:10" x14ac:dyDescent="0.25">
      <c r="A22" s="150"/>
      <c r="B22" s="559"/>
      <c r="C22" s="190" t="s">
        <v>1491</v>
      </c>
      <c r="D22" s="560"/>
      <c r="E22" s="560"/>
      <c r="F22" s="560"/>
      <c r="G22" s="560"/>
      <c r="H22" s="166"/>
      <c r="I22" s="166"/>
      <c r="J22" s="166"/>
    </row>
    <row r="23" spans="1:10" x14ac:dyDescent="0.25">
      <c r="A23" s="150"/>
      <c r="B23" s="561"/>
      <c r="C23" s="562"/>
      <c r="D23" s="190" t="s">
        <v>1492</v>
      </c>
      <c r="E23" s="190"/>
      <c r="F23" s="190"/>
      <c r="G23" s="190"/>
      <c r="H23" s="563">
        <v>0</v>
      </c>
      <c r="I23" s="563">
        <v>0</v>
      </c>
      <c r="J23" s="563">
        <v>0</v>
      </c>
    </row>
    <row r="24" spans="1:10" x14ac:dyDescent="0.25">
      <c r="A24" s="150"/>
      <c r="B24" s="561"/>
      <c r="C24" s="562"/>
      <c r="D24" s="2" t="s">
        <v>1493</v>
      </c>
      <c r="E24" s="2"/>
      <c r="F24" s="2"/>
      <c r="G24" s="2"/>
      <c r="H24" s="563">
        <v>0</v>
      </c>
      <c r="I24" s="563">
        <v>0</v>
      </c>
      <c r="J24" s="563">
        <v>0</v>
      </c>
    </row>
    <row r="25" spans="1:10" x14ac:dyDescent="0.25">
      <c r="A25" s="150"/>
      <c r="B25" s="561"/>
      <c r="C25" s="562"/>
      <c r="D25" s="2" t="s">
        <v>1494</v>
      </c>
      <c r="E25" s="2"/>
      <c r="F25" s="2"/>
      <c r="G25" s="2"/>
      <c r="H25" s="563">
        <v>0</v>
      </c>
      <c r="I25" s="563">
        <v>0</v>
      </c>
      <c r="J25" s="563">
        <v>0</v>
      </c>
    </row>
    <row r="26" spans="1:10" x14ac:dyDescent="0.25">
      <c r="A26" s="150"/>
      <c r="B26" s="561"/>
      <c r="C26" s="562"/>
      <c r="D26" s="2" t="s">
        <v>1495</v>
      </c>
      <c r="E26" s="2"/>
      <c r="F26" s="2"/>
      <c r="G26" s="2"/>
      <c r="H26" s="563">
        <v>0</v>
      </c>
      <c r="I26" s="563">
        <v>0</v>
      </c>
      <c r="J26" s="563">
        <v>0</v>
      </c>
    </row>
    <row r="27" spans="1:10" x14ac:dyDescent="0.25">
      <c r="A27" s="150"/>
      <c r="B27" s="561"/>
      <c r="C27" s="562"/>
      <c r="D27" s="2" t="s">
        <v>1496</v>
      </c>
      <c r="E27" s="2"/>
      <c r="F27" s="2"/>
      <c r="G27" s="2"/>
      <c r="H27" s="563">
        <v>0</v>
      </c>
      <c r="I27" s="563">
        <v>0</v>
      </c>
      <c r="J27" s="563">
        <v>0</v>
      </c>
    </row>
    <row r="28" spans="1:10" x14ac:dyDescent="0.25">
      <c r="A28" s="150"/>
      <c r="B28" s="561"/>
      <c r="C28" s="562"/>
      <c r="D28" s="2" t="s">
        <v>1497</v>
      </c>
      <c r="E28" s="2"/>
      <c r="F28" s="2"/>
      <c r="G28" s="2"/>
      <c r="H28" s="563">
        <v>0</v>
      </c>
      <c r="I28" s="563">
        <v>0</v>
      </c>
      <c r="J28" s="563">
        <v>0</v>
      </c>
    </row>
    <row r="29" spans="1:10" x14ac:dyDescent="0.25">
      <c r="A29" s="150"/>
      <c r="B29" s="561"/>
      <c r="C29" s="562"/>
      <c r="D29" s="2" t="s">
        <v>1498</v>
      </c>
      <c r="E29" s="2"/>
      <c r="F29" s="2"/>
      <c r="G29" s="2"/>
      <c r="H29" s="563">
        <v>0</v>
      </c>
      <c r="I29" s="563">
        <v>0</v>
      </c>
      <c r="J29" s="563">
        <v>0</v>
      </c>
    </row>
    <row r="30" spans="1:10" x14ac:dyDescent="0.25">
      <c r="A30" s="150"/>
      <c r="B30" s="561"/>
      <c r="C30" s="562"/>
      <c r="D30" s="2" t="s">
        <v>1499</v>
      </c>
      <c r="E30" s="2"/>
      <c r="F30" s="2"/>
      <c r="G30" s="2"/>
      <c r="H30" s="563">
        <v>0</v>
      </c>
      <c r="I30" s="563">
        <v>0</v>
      </c>
      <c r="J30" s="563">
        <v>0</v>
      </c>
    </row>
    <row r="31" spans="1:10" x14ac:dyDescent="0.25">
      <c r="A31" s="150"/>
      <c r="B31" s="561"/>
      <c r="C31" s="562"/>
      <c r="D31" s="564" t="s">
        <v>1500</v>
      </c>
      <c r="E31" s="564"/>
      <c r="F31" s="564"/>
      <c r="G31" s="564"/>
      <c r="H31" s="563">
        <v>0</v>
      </c>
      <c r="I31" s="563">
        <v>0</v>
      </c>
      <c r="J31" s="563">
        <v>0</v>
      </c>
    </row>
    <row r="32" spans="1:10" x14ac:dyDescent="0.25">
      <c r="A32" s="150"/>
      <c r="B32" s="561"/>
      <c r="C32" s="562"/>
      <c r="D32" s="303" t="s">
        <v>1501</v>
      </c>
      <c r="E32" s="303"/>
      <c r="F32" s="303"/>
      <c r="G32" s="303"/>
      <c r="H32" s="563">
        <v>0</v>
      </c>
      <c r="I32" s="563">
        <v>0</v>
      </c>
      <c r="J32" s="563">
        <v>0</v>
      </c>
    </row>
    <row r="33" spans="1:10" x14ac:dyDescent="0.25">
      <c r="A33" s="150"/>
      <c r="B33" s="561"/>
      <c r="C33" s="562"/>
      <c r="D33" s="303" t="s">
        <v>1502</v>
      </c>
      <c r="E33" s="303"/>
      <c r="F33" s="303"/>
      <c r="G33" s="303"/>
      <c r="H33" s="563">
        <v>0</v>
      </c>
      <c r="I33" s="563">
        <v>0</v>
      </c>
      <c r="J33" s="563">
        <v>0</v>
      </c>
    </row>
    <row r="34" spans="1:10" x14ac:dyDescent="0.25">
      <c r="A34" s="150"/>
      <c r="B34" s="561"/>
      <c r="C34" s="562"/>
      <c r="D34" s="303" t="s">
        <v>1503</v>
      </c>
      <c r="E34" s="303"/>
      <c r="F34" s="303"/>
      <c r="G34" s="303"/>
      <c r="H34" s="563">
        <v>0</v>
      </c>
      <c r="I34" s="563">
        <v>0</v>
      </c>
      <c r="J34" s="563">
        <v>0</v>
      </c>
    </row>
    <row r="35" spans="1:10" x14ac:dyDescent="0.25">
      <c r="A35" s="150"/>
      <c r="B35" s="561"/>
      <c r="C35" s="562"/>
      <c r="D35" s="303" t="s">
        <v>1504</v>
      </c>
      <c r="E35" s="303"/>
      <c r="F35" s="303"/>
      <c r="G35" s="303"/>
      <c r="H35" s="563">
        <v>0</v>
      </c>
      <c r="I35" s="563">
        <v>0</v>
      </c>
      <c r="J35" s="563">
        <v>0</v>
      </c>
    </row>
    <row r="36" spans="1:10" x14ac:dyDescent="0.25">
      <c r="A36" s="150"/>
      <c r="B36" s="561"/>
      <c r="C36" s="562"/>
      <c r="D36" s="303" t="s">
        <v>1505</v>
      </c>
      <c r="E36" s="303"/>
      <c r="F36" s="303"/>
      <c r="G36" s="303"/>
      <c r="H36" s="563">
        <v>0</v>
      </c>
      <c r="I36" s="563">
        <v>0</v>
      </c>
      <c r="J36" s="563">
        <v>0</v>
      </c>
    </row>
    <row r="37" spans="1:10" x14ac:dyDescent="0.25">
      <c r="A37" s="150"/>
      <c r="B37" s="561"/>
      <c r="C37" s="562"/>
      <c r="D37" s="303" t="s">
        <v>1506</v>
      </c>
      <c r="E37" s="303"/>
      <c r="F37" s="303"/>
      <c r="G37" s="303"/>
      <c r="H37" s="563">
        <v>0</v>
      </c>
      <c r="I37" s="563">
        <v>0</v>
      </c>
      <c r="J37" s="563">
        <v>0</v>
      </c>
    </row>
    <row r="38" spans="1:10" x14ac:dyDescent="0.25">
      <c r="A38" s="150"/>
      <c r="B38" s="561"/>
      <c r="C38" s="562"/>
      <c r="D38" s="303" t="s">
        <v>1507</v>
      </c>
      <c r="E38" s="303"/>
      <c r="F38" s="303"/>
      <c r="G38" s="303"/>
      <c r="H38" s="563">
        <v>0</v>
      </c>
      <c r="I38" s="563">
        <v>0</v>
      </c>
      <c r="J38" s="563">
        <v>0</v>
      </c>
    </row>
    <row r="39" spans="1:10" x14ac:dyDescent="0.25">
      <c r="A39" s="150"/>
      <c r="B39" s="561"/>
      <c r="C39" s="562"/>
      <c r="D39" s="303" t="s">
        <v>1508</v>
      </c>
      <c r="E39" s="303"/>
      <c r="F39" s="303"/>
      <c r="G39" s="303"/>
      <c r="H39" s="563">
        <v>0</v>
      </c>
      <c r="I39" s="563">
        <v>0</v>
      </c>
      <c r="J39" s="563">
        <v>0</v>
      </c>
    </row>
    <row r="40" spans="1:10" x14ac:dyDescent="0.25">
      <c r="A40" s="150"/>
      <c r="B40" s="561"/>
      <c r="C40" s="562"/>
      <c r="D40" s="303" t="s">
        <v>1509</v>
      </c>
      <c r="E40" s="303"/>
      <c r="F40" s="303"/>
      <c r="G40" s="303"/>
      <c r="H40" s="563">
        <v>0</v>
      </c>
      <c r="I40" s="563">
        <v>0</v>
      </c>
      <c r="J40" s="563">
        <v>0</v>
      </c>
    </row>
    <row r="41" spans="1:10" x14ac:dyDescent="0.25">
      <c r="A41" s="150"/>
      <c r="B41" s="561"/>
      <c r="C41" s="562"/>
      <c r="D41" s="303" t="s">
        <v>1510</v>
      </c>
      <c r="E41" s="303"/>
      <c r="F41" s="303"/>
      <c r="G41" s="303"/>
      <c r="H41" s="563">
        <v>0</v>
      </c>
      <c r="I41" s="563">
        <v>0</v>
      </c>
      <c r="J41" s="563">
        <v>0</v>
      </c>
    </row>
    <row r="42" spans="1:10" x14ac:dyDescent="0.25">
      <c r="A42" s="150"/>
      <c r="B42" s="561"/>
      <c r="C42" s="562"/>
      <c r="D42" s="303" t="s">
        <v>1511</v>
      </c>
      <c r="E42" s="303"/>
      <c r="F42" s="303"/>
      <c r="G42" s="303"/>
      <c r="H42" s="563">
        <v>0</v>
      </c>
      <c r="I42" s="563">
        <v>0</v>
      </c>
      <c r="J42" s="563">
        <v>0</v>
      </c>
    </row>
    <row r="43" spans="1:10" x14ac:dyDescent="0.25">
      <c r="A43" s="150"/>
      <c r="B43" s="561"/>
      <c r="C43" s="562"/>
      <c r="D43" s="303" t="s">
        <v>1512</v>
      </c>
      <c r="E43" s="303"/>
      <c r="F43" s="303"/>
      <c r="G43" s="303"/>
      <c r="H43" s="563">
        <v>0</v>
      </c>
      <c r="I43" s="563">
        <v>0</v>
      </c>
      <c r="J43" s="563">
        <v>0</v>
      </c>
    </row>
    <row r="44" spans="1:10" x14ac:dyDescent="0.25">
      <c r="A44" s="150"/>
      <c r="B44" s="561"/>
      <c r="C44" s="562"/>
      <c r="D44" s="303" t="s">
        <v>1513</v>
      </c>
      <c r="E44" s="303"/>
      <c r="F44" s="303"/>
      <c r="G44" s="303"/>
      <c r="H44" s="563">
        <v>0</v>
      </c>
      <c r="I44" s="563">
        <v>0</v>
      </c>
      <c r="J44" s="563">
        <v>0</v>
      </c>
    </row>
    <row r="45" spans="1:10" x14ac:dyDescent="0.25">
      <c r="A45" s="150"/>
      <c r="B45" s="561"/>
      <c r="C45" s="562"/>
      <c r="D45" s="303" t="s">
        <v>1514</v>
      </c>
      <c r="E45" s="303"/>
      <c r="F45" s="303"/>
      <c r="G45" s="303"/>
      <c r="H45" s="563">
        <v>0</v>
      </c>
      <c r="I45" s="563">
        <v>0</v>
      </c>
      <c r="J45" s="563">
        <v>0</v>
      </c>
    </row>
    <row r="46" spans="1:10" x14ac:dyDescent="0.25">
      <c r="A46" s="150"/>
      <c r="B46" s="561"/>
      <c r="C46" s="562"/>
      <c r="D46" s="303" t="s">
        <v>1515</v>
      </c>
      <c r="E46" s="303"/>
      <c r="F46" s="303"/>
      <c r="G46" s="303"/>
      <c r="H46" s="563">
        <v>0</v>
      </c>
      <c r="I46" s="563">
        <v>0</v>
      </c>
      <c r="J46" s="563">
        <v>0</v>
      </c>
    </row>
    <row r="47" spans="1:10" x14ac:dyDescent="0.25">
      <c r="A47" s="150"/>
      <c r="B47" s="561"/>
      <c r="C47" s="562"/>
      <c r="D47" s="303" t="s">
        <v>1516</v>
      </c>
      <c r="E47" s="303"/>
      <c r="F47" s="303"/>
      <c r="G47" s="303"/>
      <c r="H47" s="563">
        <v>0</v>
      </c>
      <c r="I47" s="563">
        <v>0</v>
      </c>
      <c r="J47" s="563">
        <v>0</v>
      </c>
    </row>
    <row r="48" spans="1:10" x14ac:dyDescent="0.25">
      <c r="A48" s="150"/>
      <c r="B48" s="561"/>
      <c r="C48" s="562"/>
      <c r="D48" s="303" t="s">
        <v>1517</v>
      </c>
      <c r="E48" s="303"/>
      <c r="F48" s="303"/>
      <c r="G48" s="303"/>
      <c r="H48" s="563">
        <v>0</v>
      </c>
      <c r="I48" s="563">
        <v>0</v>
      </c>
      <c r="J48" s="563">
        <v>0</v>
      </c>
    </row>
    <row r="49" spans="1:10" x14ac:dyDescent="0.25">
      <c r="A49" s="150"/>
      <c r="B49" s="561"/>
      <c r="C49" s="562"/>
      <c r="D49" s="303" t="s">
        <v>1518</v>
      </c>
      <c r="E49" s="303"/>
      <c r="F49" s="303"/>
      <c r="G49" s="303"/>
      <c r="H49" s="563">
        <v>0</v>
      </c>
      <c r="I49" s="563">
        <v>0</v>
      </c>
      <c r="J49" s="563">
        <v>0</v>
      </c>
    </row>
    <row r="50" spans="1:10" x14ac:dyDescent="0.25">
      <c r="A50" s="150"/>
      <c r="B50" s="561"/>
      <c r="C50" s="562"/>
      <c r="D50" s="303" t="s">
        <v>1519</v>
      </c>
      <c r="E50" s="303"/>
      <c r="F50" s="303"/>
      <c r="G50" s="303"/>
      <c r="H50" s="563">
        <v>0</v>
      </c>
      <c r="I50" s="563">
        <v>0</v>
      </c>
      <c r="J50" s="563">
        <v>0</v>
      </c>
    </row>
    <row r="51" spans="1:10" x14ac:dyDescent="0.25">
      <c r="A51" s="150"/>
      <c r="B51" s="561"/>
      <c r="C51" s="562"/>
      <c r="D51" s="303" t="s">
        <v>1520</v>
      </c>
      <c r="E51" s="303"/>
      <c r="F51" s="303"/>
      <c r="G51" s="303"/>
      <c r="H51" s="563">
        <v>0</v>
      </c>
      <c r="I51" s="563">
        <v>0</v>
      </c>
      <c r="J51" s="563">
        <v>0</v>
      </c>
    </row>
    <row r="52" spans="1:10" x14ac:dyDescent="0.25">
      <c r="A52" s="150"/>
      <c r="B52" s="561"/>
      <c r="C52" s="562"/>
      <c r="D52" s="303" t="s">
        <v>1521</v>
      </c>
      <c r="E52" s="303"/>
      <c r="F52" s="303"/>
      <c r="G52" s="303"/>
      <c r="H52" s="563">
        <v>0</v>
      </c>
      <c r="I52" s="563">
        <v>0</v>
      </c>
      <c r="J52" s="563">
        <v>0</v>
      </c>
    </row>
    <row r="53" spans="1:10" x14ac:dyDescent="0.25">
      <c r="A53" s="150"/>
      <c r="B53" s="561"/>
      <c r="C53" s="562"/>
      <c r="D53" s="303" t="s">
        <v>1522</v>
      </c>
      <c r="E53" s="303"/>
      <c r="F53" s="303"/>
      <c r="G53" s="303"/>
      <c r="H53" s="563">
        <v>0</v>
      </c>
      <c r="I53" s="563">
        <v>0</v>
      </c>
      <c r="J53" s="563">
        <v>0</v>
      </c>
    </row>
    <row r="54" spans="1:10" x14ac:dyDescent="0.25">
      <c r="A54" s="150"/>
      <c r="B54" s="561"/>
      <c r="C54" s="562"/>
      <c r="D54" s="303" t="s">
        <v>1523</v>
      </c>
      <c r="E54" s="303"/>
      <c r="F54" s="303"/>
      <c r="G54" s="303"/>
      <c r="H54" s="563">
        <v>0</v>
      </c>
      <c r="I54" s="563">
        <v>0</v>
      </c>
      <c r="J54" s="563">
        <v>0</v>
      </c>
    </row>
    <row r="55" spans="1:10" x14ac:dyDescent="0.25">
      <c r="A55" s="150"/>
      <c r="B55" s="561"/>
      <c r="C55" s="562"/>
      <c r="D55" s="303" t="s">
        <v>1524</v>
      </c>
      <c r="E55" s="303"/>
      <c r="F55" s="303"/>
      <c r="G55" s="303"/>
      <c r="H55" s="563">
        <v>0</v>
      </c>
      <c r="I55" s="563">
        <v>0</v>
      </c>
      <c r="J55" s="563">
        <v>0</v>
      </c>
    </row>
    <row r="56" spans="1:10" x14ac:dyDescent="0.25">
      <c r="A56" s="150"/>
      <c r="B56" s="561"/>
      <c r="C56" s="562"/>
      <c r="D56" s="303" t="s">
        <v>1525</v>
      </c>
      <c r="E56" s="303"/>
      <c r="F56" s="303"/>
      <c r="G56" s="303"/>
      <c r="H56" s="563">
        <v>0</v>
      </c>
      <c r="I56" s="563">
        <v>0</v>
      </c>
      <c r="J56" s="563">
        <v>0</v>
      </c>
    </row>
    <row r="57" spans="1:10" x14ac:dyDescent="0.25">
      <c r="A57" s="150"/>
      <c r="B57" s="561"/>
      <c r="C57" s="562"/>
      <c r="D57" s="303" t="s">
        <v>1526</v>
      </c>
      <c r="E57" s="303"/>
      <c r="F57" s="303"/>
      <c r="G57" s="303"/>
      <c r="H57" s="563">
        <v>0</v>
      </c>
      <c r="I57" s="563">
        <v>0</v>
      </c>
      <c r="J57" s="563">
        <v>0</v>
      </c>
    </row>
    <row r="58" spans="1:10" x14ac:dyDescent="0.25">
      <c r="A58" s="150"/>
      <c r="B58" s="561"/>
      <c r="C58" s="562"/>
      <c r="D58" s="303" t="s">
        <v>1527</v>
      </c>
      <c r="E58" s="303"/>
      <c r="F58" s="303"/>
      <c r="G58" s="303"/>
      <c r="H58" s="563">
        <v>0</v>
      </c>
      <c r="I58" s="563">
        <v>0</v>
      </c>
      <c r="J58" s="563">
        <v>0</v>
      </c>
    </row>
    <row r="59" spans="1:10" x14ac:dyDescent="0.25">
      <c r="A59" s="150"/>
      <c r="B59" s="561"/>
      <c r="C59" s="562"/>
      <c r="D59" s="303" t="s">
        <v>1528</v>
      </c>
      <c r="E59" s="303"/>
      <c r="F59" s="303"/>
      <c r="G59" s="303"/>
      <c r="H59" s="563">
        <v>0</v>
      </c>
      <c r="I59" s="563">
        <v>0</v>
      </c>
      <c r="J59" s="563">
        <v>0</v>
      </c>
    </row>
    <row r="60" spans="1:10" x14ac:dyDescent="0.25">
      <c r="A60" s="150"/>
      <c r="B60" s="561"/>
      <c r="C60" s="562"/>
      <c r="D60" s="303" t="s">
        <v>1529</v>
      </c>
      <c r="E60" s="303"/>
      <c r="F60" s="303"/>
      <c r="G60" s="303"/>
      <c r="H60" s="563">
        <v>0</v>
      </c>
      <c r="I60" s="563">
        <v>0</v>
      </c>
      <c r="J60" s="563">
        <v>0</v>
      </c>
    </row>
    <row r="61" spans="1:10" x14ac:dyDescent="0.25">
      <c r="A61" s="150"/>
      <c r="B61" s="561"/>
      <c r="C61" s="562"/>
      <c r="D61" s="303" t="s">
        <v>1530</v>
      </c>
      <c r="E61" s="303"/>
      <c r="F61" s="303"/>
      <c r="G61" s="303"/>
      <c r="H61" s="563">
        <v>0</v>
      </c>
      <c r="I61" s="563">
        <v>0</v>
      </c>
      <c r="J61" s="563">
        <v>0</v>
      </c>
    </row>
    <row r="62" spans="1:10" x14ac:dyDescent="0.25">
      <c r="A62" s="150"/>
      <c r="B62" s="561"/>
      <c r="C62" s="562"/>
      <c r="D62" s="303" t="s">
        <v>1531</v>
      </c>
      <c r="E62" s="303"/>
      <c r="F62" s="303"/>
      <c r="G62" s="303"/>
      <c r="H62" s="563">
        <v>0</v>
      </c>
      <c r="I62" s="563">
        <v>0</v>
      </c>
      <c r="J62" s="563">
        <v>0</v>
      </c>
    </row>
    <row r="63" spans="1:10" x14ac:dyDescent="0.25">
      <c r="A63" s="150"/>
      <c r="B63" s="561"/>
      <c r="C63" s="562"/>
      <c r="D63" s="303" t="s">
        <v>1532</v>
      </c>
      <c r="E63" s="303"/>
      <c r="F63" s="303"/>
      <c r="G63" s="303"/>
      <c r="H63" s="563">
        <v>0</v>
      </c>
      <c r="I63" s="563">
        <v>0</v>
      </c>
      <c r="J63" s="563">
        <v>0</v>
      </c>
    </row>
    <row r="64" spans="1:10" x14ac:dyDescent="0.25">
      <c r="A64" s="150"/>
      <c r="B64" s="561"/>
      <c r="C64" s="562"/>
      <c r="D64" s="303" t="s">
        <v>1533</v>
      </c>
      <c r="E64" s="303"/>
      <c r="F64" s="303"/>
      <c r="G64" s="303"/>
      <c r="H64" s="563">
        <v>0</v>
      </c>
      <c r="I64" s="563">
        <v>0</v>
      </c>
      <c r="J64" s="563">
        <v>0</v>
      </c>
    </row>
    <row r="65" spans="1:10" x14ac:dyDescent="0.25">
      <c r="A65" s="150"/>
      <c r="B65" s="561"/>
      <c r="C65" s="562"/>
      <c r="D65" s="303" t="s">
        <v>1534</v>
      </c>
      <c r="E65" s="303"/>
      <c r="F65" s="303"/>
      <c r="G65" s="303"/>
      <c r="H65" s="563">
        <v>0</v>
      </c>
      <c r="I65" s="563">
        <v>0</v>
      </c>
      <c r="J65" s="563">
        <v>0</v>
      </c>
    </row>
    <row r="66" spans="1:10" x14ac:dyDescent="0.25">
      <c r="A66" s="150"/>
      <c r="B66" s="561"/>
      <c r="C66" s="562"/>
      <c r="D66" s="303" t="s">
        <v>1535</v>
      </c>
      <c r="E66" s="303"/>
      <c r="F66" s="303"/>
      <c r="G66" s="303"/>
      <c r="H66" s="563">
        <v>0</v>
      </c>
      <c r="I66" s="563">
        <v>0</v>
      </c>
      <c r="J66" s="563">
        <v>0</v>
      </c>
    </row>
    <row r="67" spans="1:10" x14ac:dyDescent="0.25">
      <c r="A67" s="150"/>
      <c r="B67" s="561"/>
      <c r="C67" s="562"/>
      <c r="D67" s="303" t="s">
        <v>1536</v>
      </c>
      <c r="E67" s="303"/>
      <c r="F67" s="303"/>
      <c r="G67" s="303"/>
      <c r="H67" s="563">
        <v>0</v>
      </c>
      <c r="I67" s="563">
        <v>0</v>
      </c>
      <c r="J67" s="563">
        <v>0</v>
      </c>
    </row>
    <row r="68" spans="1:10" x14ac:dyDescent="0.25">
      <c r="A68" s="150"/>
      <c r="B68" s="561"/>
      <c r="C68" s="562"/>
      <c r="D68" s="303" t="s">
        <v>1537</v>
      </c>
      <c r="E68" s="303"/>
      <c r="F68" s="303"/>
      <c r="G68" s="303"/>
      <c r="H68" s="563">
        <v>0</v>
      </c>
      <c r="I68" s="563">
        <v>0</v>
      </c>
      <c r="J68" s="563">
        <v>0</v>
      </c>
    </row>
    <row r="69" spans="1:10" x14ac:dyDescent="0.25">
      <c r="A69" s="150"/>
      <c r="B69" s="561"/>
      <c r="C69" s="562"/>
      <c r="D69" s="303" t="s">
        <v>1538</v>
      </c>
      <c r="E69" s="303"/>
      <c r="F69" s="303"/>
      <c r="G69" s="303"/>
      <c r="H69" s="563">
        <v>0</v>
      </c>
      <c r="I69" s="563">
        <v>0</v>
      </c>
      <c r="J69" s="563">
        <v>0</v>
      </c>
    </row>
    <row r="70" spans="1:10" x14ac:dyDescent="0.25">
      <c r="A70" s="150"/>
      <c r="B70" s="561"/>
      <c r="C70" s="562"/>
      <c r="D70" s="303" t="s">
        <v>1539</v>
      </c>
      <c r="E70" s="303"/>
      <c r="F70" s="303"/>
      <c r="G70" s="303"/>
      <c r="H70" s="563">
        <v>0</v>
      </c>
      <c r="I70" s="563">
        <v>0</v>
      </c>
      <c r="J70" s="563">
        <v>0</v>
      </c>
    </row>
    <row r="71" spans="1:10" x14ac:dyDescent="0.25">
      <c r="A71" s="150"/>
      <c r="B71" s="561"/>
      <c r="C71" s="562"/>
      <c r="D71" s="303" t="s">
        <v>1540</v>
      </c>
      <c r="E71" s="303"/>
      <c r="F71" s="303"/>
      <c r="G71" s="303"/>
      <c r="H71" s="563">
        <v>0</v>
      </c>
      <c r="I71" s="563">
        <v>0</v>
      </c>
      <c r="J71" s="563">
        <v>0</v>
      </c>
    </row>
    <row r="72" spans="1:10" x14ac:dyDescent="0.25">
      <c r="A72" s="150"/>
      <c r="B72" s="561"/>
      <c r="C72" s="562"/>
      <c r="D72" s="303" t="s">
        <v>1541</v>
      </c>
      <c r="E72" s="303"/>
      <c r="F72" s="303"/>
      <c r="G72" s="303"/>
      <c r="H72" s="563">
        <v>0</v>
      </c>
      <c r="I72" s="563">
        <v>0</v>
      </c>
      <c r="J72" s="563">
        <v>0</v>
      </c>
    </row>
    <row r="73" spans="1:10" x14ac:dyDescent="0.25">
      <c r="A73" s="150"/>
      <c r="B73" s="561"/>
      <c r="C73" s="562"/>
      <c r="D73" s="303" t="s">
        <v>1542</v>
      </c>
      <c r="E73" s="303"/>
      <c r="F73" s="303"/>
      <c r="G73" s="303"/>
      <c r="H73" s="563">
        <v>0</v>
      </c>
      <c r="I73" s="563">
        <v>0</v>
      </c>
      <c r="J73" s="563">
        <v>0</v>
      </c>
    </row>
    <row r="74" spans="1:10" x14ac:dyDescent="0.25">
      <c r="A74" s="150"/>
      <c r="B74" s="561"/>
      <c r="C74" s="562"/>
      <c r="D74" s="303" t="s">
        <v>1543</v>
      </c>
      <c r="E74" s="303"/>
      <c r="F74" s="303"/>
      <c r="G74" s="303"/>
      <c r="H74" s="563">
        <v>0</v>
      </c>
      <c r="I74" s="563">
        <v>0</v>
      </c>
      <c r="J74" s="563">
        <v>0</v>
      </c>
    </row>
    <row r="75" spans="1:10" x14ac:dyDescent="0.25">
      <c r="A75" s="150"/>
      <c r="B75" s="561"/>
      <c r="C75" s="562"/>
      <c r="D75" s="303" t="s">
        <v>1544</v>
      </c>
      <c r="E75" s="303"/>
      <c r="F75" s="303"/>
      <c r="G75" s="303"/>
      <c r="H75" s="563">
        <v>0</v>
      </c>
      <c r="I75" s="563">
        <v>0</v>
      </c>
      <c r="J75" s="563">
        <v>0</v>
      </c>
    </row>
    <row r="76" spans="1:10" x14ac:dyDescent="0.25">
      <c r="A76" s="150"/>
      <c r="B76" s="561"/>
      <c r="C76" s="562"/>
      <c r="D76" s="303" t="s">
        <v>1545</v>
      </c>
      <c r="E76" s="303"/>
      <c r="F76" s="303"/>
      <c r="G76" s="303"/>
      <c r="H76" s="563">
        <v>0</v>
      </c>
      <c r="I76" s="563">
        <v>0</v>
      </c>
      <c r="J76" s="563">
        <v>0</v>
      </c>
    </row>
    <row r="77" spans="1:10" x14ac:dyDescent="0.25">
      <c r="A77" s="150"/>
      <c r="B77" s="561"/>
      <c r="C77" s="562"/>
      <c r="D77" s="303" t="s">
        <v>1546</v>
      </c>
      <c r="E77" s="303"/>
      <c r="F77" s="303"/>
      <c r="G77" s="303"/>
      <c r="H77" s="563">
        <v>0</v>
      </c>
      <c r="I77" s="563">
        <v>0</v>
      </c>
      <c r="J77" s="563">
        <v>0</v>
      </c>
    </row>
    <row r="78" spans="1:10" x14ac:dyDescent="0.25">
      <c r="A78" s="150"/>
      <c r="B78" s="561"/>
      <c r="C78" s="562"/>
      <c r="D78" s="303" t="s">
        <v>1547</v>
      </c>
      <c r="E78" s="303"/>
      <c r="F78" s="303"/>
      <c r="G78" s="303"/>
      <c r="H78" s="563">
        <v>0</v>
      </c>
      <c r="I78" s="563">
        <v>0</v>
      </c>
      <c r="J78" s="563">
        <v>0</v>
      </c>
    </row>
    <row r="79" spans="1:10" x14ac:dyDescent="0.25">
      <c r="A79" s="150"/>
      <c r="B79" s="561"/>
      <c r="C79" s="562"/>
      <c r="D79" s="303" t="s">
        <v>1548</v>
      </c>
      <c r="E79" s="303"/>
      <c r="F79" s="303"/>
      <c r="G79" s="303"/>
      <c r="H79" s="563">
        <v>0</v>
      </c>
      <c r="I79" s="563">
        <v>0</v>
      </c>
      <c r="J79" s="563">
        <v>0</v>
      </c>
    </row>
    <row r="80" spans="1:10" x14ac:dyDescent="0.25">
      <c r="A80" s="150"/>
      <c r="B80" s="561"/>
      <c r="C80" s="562"/>
      <c r="D80" s="303" t="s">
        <v>1549</v>
      </c>
      <c r="E80" s="303"/>
      <c r="F80" s="303"/>
      <c r="G80" s="303"/>
      <c r="H80" s="563">
        <v>0</v>
      </c>
      <c r="I80" s="563">
        <v>0</v>
      </c>
      <c r="J80" s="563">
        <v>0</v>
      </c>
    </row>
    <row r="81" spans="1:10" x14ac:dyDescent="0.25">
      <c r="A81" s="150"/>
      <c r="B81" s="561"/>
      <c r="C81" s="562"/>
      <c r="D81" s="303" t="s">
        <v>1550</v>
      </c>
      <c r="E81" s="303"/>
      <c r="F81" s="303"/>
      <c r="G81" s="303"/>
      <c r="H81" s="563">
        <v>0</v>
      </c>
      <c r="I81" s="563">
        <v>0</v>
      </c>
      <c r="J81" s="563">
        <v>0</v>
      </c>
    </row>
    <row r="82" spans="1:10" x14ac:dyDescent="0.25">
      <c r="A82" s="150"/>
      <c r="B82" s="561"/>
      <c r="C82" s="562"/>
      <c r="D82" s="303" t="s">
        <v>1551</v>
      </c>
      <c r="E82" s="303"/>
      <c r="F82" s="303"/>
      <c r="G82" s="303"/>
      <c r="H82" s="563">
        <v>0</v>
      </c>
      <c r="I82" s="563">
        <v>0</v>
      </c>
      <c r="J82" s="563">
        <v>0</v>
      </c>
    </row>
    <row r="83" spans="1:10" x14ac:dyDescent="0.25">
      <c r="A83" s="150"/>
      <c r="B83" s="561"/>
      <c r="C83" s="562"/>
      <c r="D83" s="303" t="s">
        <v>1552</v>
      </c>
      <c r="E83" s="303"/>
      <c r="F83" s="303"/>
      <c r="G83" s="303"/>
      <c r="H83" s="563">
        <v>0</v>
      </c>
      <c r="I83" s="563">
        <v>0</v>
      </c>
      <c r="J83" s="563">
        <v>0</v>
      </c>
    </row>
    <row r="84" spans="1:10" x14ac:dyDescent="0.25">
      <c r="A84" s="150"/>
      <c r="B84" s="561"/>
      <c r="C84" s="562"/>
      <c r="D84" s="303" t="s">
        <v>1553</v>
      </c>
      <c r="E84" s="303"/>
      <c r="F84" s="303"/>
      <c r="G84" s="303"/>
      <c r="H84" s="563">
        <v>0</v>
      </c>
      <c r="I84" s="563">
        <v>0</v>
      </c>
      <c r="J84" s="563">
        <v>0</v>
      </c>
    </row>
    <row r="85" spans="1:10" x14ac:dyDescent="0.25">
      <c r="A85" s="150"/>
      <c r="B85" s="561"/>
      <c r="C85" s="562"/>
      <c r="D85" s="303" t="s">
        <v>1554</v>
      </c>
      <c r="E85" s="303"/>
      <c r="F85" s="303"/>
      <c r="G85" s="303"/>
      <c r="H85" s="563">
        <v>0</v>
      </c>
      <c r="I85" s="563">
        <v>0</v>
      </c>
      <c r="J85" s="563">
        <v>0</v>
      </c>
    </row>
    <row r="86" spans="1:10" x14ac:dyDescent="0.25">
      <c r="A86" s="150"/>
      <c r="B86" s="561"/>
      <c r="C86" s="562"/>
      <c r="D86" s="303" t="s">
        <v>1555</v>
      </c>
      <c r="E86" s="303"/>
      <c r="F86" s="303"/>
      <c r="G86" s="303"/>
      <c r="H86" s="563">
        <v>0</v>
      </c>
      <c r="I86" s="563">
        <v>0</v>
      </c>
      <c r="J86" s="563">
        <v>0</v>
      </c>
    </row>
    <row r="87" spans="1:10" x14ac:dyDescent="0.25">
      <c r="A87" s="150"/>
      <c r="B87" s="561"/>
      <c r="C87" s="562"/>
      <c r="D87" s="303" t="s">
        <v>1556</v>
      </c>
      <c r="E87" s="303"/>
      <c r="F87" s="303"/>
      <c r="G87" s="303"/>
      <c r="H87" s="563">
        <v>0</v>
      </c>
      <c r="I87" s="563">
        <v>0</v>
      </c>
      <c r="J87" s="563">
        <v>0</v>
      </c>
    </row>
    <row r="88" spans="1:10" x14ac:dyDescent="0.25">
      <c r="A88" s="150"/>
      <c r="B88" s="561"/>
      <c r="C88" s="562"/>
      <c r="D88" s="303" t="s">
        <v>1557</v>
      </c>
      <c r="E88" s="303"/>
      <c r="F88" s="303"/>
      <c r="G88" s="303"/>
      <c r="H88" s="563">
        <v>0</v>
      </c>
      <c r="I88" s="563">
        <v>0</v>
      </c>
      <c r="J88" s="563">
        <v>0</v>
      </c>
    </row>
    <row r="89" spans="1:10" x14ac:dyDescent="0.25">
      <c r="A89" s="150"/>
      <c r="B89" s="561"/>
      <c r="C89" s="562"/>
      <c r="D89" s="303" t="s">
        <v>1558</v>
      </c>
      <c r="E89" s="303"/>
      <c r="F89" s="303"/>
      <c r="G89" s="303"/>
      <c r="H89" s="563">
        <v>0</v>
      </c>
      <c r="I89" s="563">
        <v>0</v>
      </c>
      <c r="J89" s="563">
        <v>0</v>
      </c>
    </row>
    <row r="90" spans="1:10" x14ac:dyDescent="0.25">
      <c r="A90" s="150"/>
      <c r="B90" s="561"/>
      <c r="C90" s="562"/>
      <c r="D90" s="303" t="s">
        <v>1559</v>
      </c>
      <c r="E90" s="303"/>
      <c r="F90" s="303"/>
      <c r="G90" s="303"/>
      <c r="H90" s="563">
        <v>0</v>
      </c>
      <c r="I90" s="563">
        <v>0</v>
      </c>
      <c r="J90" s="563">
        <v>0</v>
      </c>
    </row>
    <row r="91" spans="1:10" x14ac:dyDescent="0.25">
      <c r="A91" s="150"/>
      <c r="B91" s="561"/>
      <c r="C91" s="562"/>
      <c r="D91" s="303" t="s">
        <v>1560</v>
      </c>
      <c r="E91" s="303"/>
      <c r="F91" s="303"/>
      <c r="G91" s="303"/>
      <c r="H91" s="563">
        <v>0</v>
      </c>
      <c r="I91" s="563">
        <v>0</v>
      </c>
      <c r="J91" s="563">
        <v>0</v>
      </c>
    </row>
    <row r="92" spans="1:10" x14ac:dyDescent="0.25">
      <c r="A92" s="150"/>
      <c r="B92" s="561"/>
      <c r="C92" s="562"/>
      <c r="D92" s="303" t="s">
        <v>1561</v>
      </c>
      <c r="E92" s="303"/>
      <c r="F92" s="303"/>
      <c r="G92" s="303"/>
      <c r="H92" s="563">
        <v>0</v>
      </c>
      <c r="I92" s="563">
        <v>0</v>
      </c>
      <c r="J92" s="563">
        <v>0</v>
      </c>
    </row>
    <row r="93" spans="1:10" x14ac:dyDescent="0.25">
      <c r="A93" s="150"/>
      <c r="B93" s="561"/>
      <c r="C93" s="562"/>
      <c r="D93" s="303" t="s">
        <v>1562</v>
      </c>
      <c r="E93" s="303"/>
      <c r="F93" s="303"/>
      <c r="G93" s="303"/>
      <c r="H93" s="563">
        <v>0</v>
      </c>
      <c r="I93" s="563">
        <v>0</v>
      </c>
      <c r="J93" s="563">
        <v>0</v>
      </c>
    </row>
    <row r="94" spans="1:10" x14ac:dyDescent="0.25">
      <c r="A94" s="150"/>
      <c r="B94" s="561"/>
      <c r="C94" s="562"/>
      <c r="D94" s="303" t="s">
        <v>1563</v>
      </c>
      <c r="E94" s="303"/>
      <c r="F94" s="303"/>
      <c r="G94" s="303"/>
      <c r="H94" s="563">
        <v>0</v>
      </c>
      <c r="I94" s="563">
        <v>0</v>
      </c>
      <c r="J94" s="563">
        <v>0</v>
      </c>
    </row>
    <row r="95" spans="1:10" x14ac:dyDescent="0.25">
      <c r="A95" s="150"/>
      <c r="B95" s="561"/>
      <c r="C95" s="562"/>
      <c r="D95" s="303" t="s">
        <v>1564</v>
      </c>
      <c r="E95" s="303"/>
      <c r="F95" s="303"/>
      <c r="G95" s="303"/>
      <c r="H95" s="563">
        <v>0</v>
      </c>
      <c r="I95" s="563">
        <v>0</v>
      </c>
      <c r="J95" s="563">
        <v>0</v>
      </c>
    </row>
    <row r="96" spans="1:10" x14ac:dyDescent="0.25">
      <c r="A96" s="150"/>
      <c r="B96" s="561"/>
      <c r="C96" s="562"/>
      <c r="D96" s="303" t="s">
        <v>1565</v>
      </c>
      <c r="E96" s="303"/>
      <c r="F96" s="303"/>
      <c r="G96" s="303"/>
      <c r="H96" s="563">
        <v>0</v>
      </c>
      <c r="I96" s="563">
        <v>0</v>
      </c>
      <c r="J96" s="563">
        <v>0</v>
      </c>
    </row>
    <row r="97" spans="1:10" x14ac:dyDescent="0.25">
      <c r="A97" s="150"/>
      <c r="B97" s="561"/>
      <c r="C97" s="562"/>
      <c r="D97" s="303" t="s">
        <v>1566</v>
      </c>
      <c r="E97" s="303"/>
      <c r="F97" s="303"/>
      <c r="G97" s="303"/>
      <c r="H97" s="563">
        <v>0</v>
      </c>
      <c r="I97" s="563">
        <v>0</v>
      </c>
      <c r="J97" s="563">
        <v>0</v>
      </c>
    </row>
    <row r="98" spans="1:10" x14ac:dyDescent="0.25">
      <c r="A98" s="150"/>
      <c r="B98" s="561"/>
      <c r="C98" s="562"/>
      <c r="D98" s="303" t="s">
        <v>1567</v>
      </c>
      <c r="E98" s="303"/>
      <c r="F98" s="303"/>
      <c r="G98" s="303"/>
      <c r="H98" s="563">
        <v>0</v>
      </c>
      <c r="I98" s="563">
        <v>0</v>
      </c>
      <c r="J98" s="563">
        <v>0</v>
      </c>
    </row>
    <row r="99" spans="1:10" x14ac:dyDescent="0.25">
      <c r="A99" s="150"/>
      <c r="B99" s="561"/>
      <c r="C99" s="562"/>
      <c r="D99" s="303" t="s">
        <v>1568</v>
      </c>
      <c r="E99" s="303"/>
      <c r="F99" s="303"/>
      <c r="G99" s="303"/>
      <c r="H99" s="563">
        <v>0</v>
      </c>
      <c r="I99" s="563">
        <v>0</v>
      </c>
      <c r="J99" s="563">
        <v>0</v>
      </c>
    </row>
    <row r="100" spans="1:10" x14ac:dyDescent="0.25">
      <c r="A100" s="150"/>
      <c r="B100" s="561"/>
      <c r="C100" s="562"/>
      <c r="D100" s="303" t="s">
        <v>1569</v>
      </c>
      <c r="E100" s="303"/>
      <c r="F100" s="303"/>
      <c r="G100" s="303"/>
      <c r="H100" s="563">
        <v>0</v>
      </c>
      <c r="I100" s="563">
        <v>0</v>
      </c>
      <c r="J100" s="563">
        <v>0</v>
      </c>
    </row>
    <row r="101" spans="1:10" x14ac:dyDescent="0.25">
      <c r="A101" s="150"/>
      <c r="B101" s="561"/>
      <c r="C101" s="562"/>
      <c r="D101" s="303" t="s">
        <v>1570</v>
      </c>
      <c r="E101" s="303"/>
      <c r="F101" s="303"/>
      <c r="G101" s="303"/>
      <c r="H101" s="563">
        <v>0</v>
      </c>
      <c r="I101" s="563">
        <v>0</v>
      </c>
      <c r="J101" s="563">
        <v>0</v>
      </c>
    </row>
    <row r="102" spans="1:10" x14ac:dyDescent="0.25">
      <c r="A102" s="150"/>
      <c r="B102" s="561"/>
      <c r="C102" s="562"/>
      <c r="D102" s="303" t="s">
        <v>1571</v>
      </c>
      <c r="E102" s="303"/>
      <c r="F102" s="303"/>
      <c r="G102" s="303"/>
      <c r="H102" s="563">
        <v>0</v>
      </c>
      <c r="I102" s="563">
        <v>0</v>
      </c>
      <c r="J102" s="563">
        <v>0</v>
      </c>
    </row>
    <row r="103" spans="1:10" x14ac:dyDescent="0.25">
      <c r="A103" s="150"/>
      <c r="B103" s="561"/>
      <c r="C103" s="562"/>
      <c r="D103" s="303" t="s">
        <v>1572</v>
      </c>
      <c r="E103" s="303"/>
      <c r="F103" s="303"/>
      <c r="G103" s="303"/>
      <c r="H103" s="563">
        <v>0</v>
      </c>
      <c r="I103" s="563">
        <v>0</v>
      </c>
      <c r="J103" s="563">
        <v>0</v>
      </c>
    </row>
    <row r="104" spans="1:10" x14ac:dyDescent="0.25">
      <c r="A104" s="150"/>
      <c r="B104" s="561"/>
      <c r="C104" s="562"/>
      <c r="D104" s="303" t="s">
        <v>1573</v>
      </c>
      <c r="E104" s="303"/>
      <c r="F104" s="303"/>
      <c r="G104" s="303"/>
      <c r="H104" s="563">
        <v>0</v>
      </c>
      <c r="I104" s="563">
        <v>0</v>
      </c>
      <c r="J104" s="563">
        <v>0</v>
      </c>
    </row>
    <row r="105" spans="1:10" x14ac:dyDescent="0.25">
      <c r="A105" s="150"/>
      <c r="B105" s="561"/>
      <c r="C105" s="562"/>
      <c r="D105" s="303" t="s">
        <v>1574</v>
      </c>
      <c r="E105" s="303"/>
      <c r="F105" s="303"/>
      <c r="G105" s="303"/>
      <c r="H105" s="563">
        <v>0</v>
      </c>
      <c r="I105" s="563">
        <v>0</v>
      </c>
      <c r="J105" s="563">
        <v>0</v>
      </c>
    </row>
    <row r="106" spans="1:10" x14ac:dyDescent="0.25">
      <c r="A106" s="150"/>
      <c r="B106" s="561"/>
      <c r="C106" s="562"/>
      <c r="D106" s="303" t="s">
        <v>1575</v>
      </c>
      <c r="E106" s="303"/>
      <c r="F106" s="303"/>
      <c r="G106" s="303"/>
      <c r="H106" s="563">
        <v>0</v>
      </c>
      <c r="I106" s="563">
        <v>0</v>
      </c>
      <c r="J106" s="563">
        <v>0</v>
      </c>
    </row>
    <row r="107" spans="1:10" x14ac:dyDescent="0.25">
      <c r="A107" s="150"/>
      <c r="B107" s="561"/>
      <c r="C107" s="562"/>
      <c r="D107" s="303" t="s">
        <v>1576</v>
      </c>
      <c r="E107" s="303"/>
      <c r="F107" s="303"/>
      <c r="G107" s="303"/>
      <c r="H107" s="563">
        <v>0</v>
      </c>
      <c r="I107" s="563">
        <v>0</v>
      </c>
      <c r="J107" s="563">
        <v>0</v>
      </c>
    </row>
    <row r="108" spans="1:10" x14ac:dyDescent="0.25">
      <c r="A108" s="150"/>
      <c r="B108" s="561"/>
      <c r="C108" s="562"/>
      <c r="D108" s="303" t="s">
        <v>1577</v>
      </c>
      <c r="E108" s="303"/>
      <c r="F108" s="303"/>
      <c r="G108" s="303"/>
      <c r="H108" s="563">
        <v>0</v>
      </c>
      <c r="I108" s="563">
        <v>0</v>
      </c>
      <c r="J108" s="563">
        <v>0</v>
      </c>
    </row>
    <row r="109" spans="1:10" x14ac:dyDescent="0.25">
      <c r="A109" s="150"/>
      <c r="B109" s="561"/>
      <c r="C109" s="562"/>
      <c r="D109" s="303" t="s">
        <v>1578</v>
      </c>
      <c r="E109" s="303"/>
      <c r="F109" s="303"/>
      <c r="G109" s="303"/>
      <c r="H109" s="563">
        <v>0</v>
      </c>
      <c r="I109" s="563">
        <v>0</v>
      </c>
      <c r="J109" s="563">
        <v>0</v>
      </c>
    </row>
    <row r="110" spans="1:10" x14ac:dyDescent="0.25">
      <c r="A110" s="150"/>
      <c r="B110" s="561"/>
      <c r="C110" s="562"/>
      <c r="D110" s="303" t="s">
        <v>1579</v>
      </c>
      <c r="E110" s="303"/>
      <c r="F110" s="303"/>
      <c r="G110" s="303"/>
      <c r="H110" s="563">
        <v>0</v>
      </c>
      <c r="I110" s="563">
        <v>0</v>
      </c>
      <c r="J110" s="563">
        <v>0</v>
      </c>
    </row>
    <row r="111" spans="1:10" x14ac:dyDescent="0.25">
      <c r="A111" s="150"/>
      <c r="B111" s="561"/>
      <c r="C111" s="562"/>
      <c r="D111" s="303" t="s">
        <v>1580</v>
      </c>
      <c r="E111" s="303"/>
      <c r="F111" s="303"/>
      <c r="G111" s="303"/>
      <c r="H111" s="563">
        <v>0</v>
      </c>
      <c r="I111" s="563">
        <v>0</v>
      </c>
      <c r="J111" s="563">
        <v>0</v>
      </c>
    </row>
    <row r="112" spans="1:10" x14ac:dyDescent="0.25">
      <c r="A112" s="150"/>
      <c r="B112" s="561"/>
      <c r="C112" s="562"/>
      <c r="D112" s="303" t="s">
        <v>1581</v>
      </c>
      <c r="E112" s="303"/>
      <c r="F112" s="303"/>
      <c r="G112" s="303"/>
      <c r="H112" s="563">
        <v>0</v>
      </c>
      <c r="I112" s="563">
        <v>0</v>
      </c>
      <c r="J112" s="563">
        <v>0</v>
      </c>
    </row>
    <row r="113" spans="1:10" x14ac:dyDescent="0.25">
      <c r="A113" s="150"/>
      <c r="B113" s="561"/>
      <c r="C113" s="562"/>
      <c r="D113" s="303" t="s">
        <v>1582</v>
      </c>
      <c r="E113" s="303"/>
      <c r="F113" s="303"/>
      <c r="G113" s="303"/>
      <c r="H113" s="563">
        <v>0</v>
      </c>
      <c r="I113" s="563">
        <v>0</v>
      </c>
      <c r="J113" s="563">
        <v>0</v>
      </c>
    </row>
    <row r="114" spans="1:10" x14ac:dyDescent="0.25">
      <c r="A114" s="150"/>
      <c r="B114" s="561"/>
      <c r="C114" s="562"/>
      <c r="D114" s="303" t="s">
        <v>1583</v>
      </c>
      <c r="E114" s="303"/>
      <c r="F114" s="303"/>
      <c r="G114" s="303"/>
      <c r="H114" s="563">
        <v>0</v>
      </c>
      <c r="I114" s="563">
        <v>0</v>
      </c>
      <c r="J114" s="563">
        <v>0</v>
      </c>
    </row>
    <row r="115" spans="1:10" x14ac:dyDescent="0.25">
      <c r="A115" s="150"/>
      <c r="B115" s="561"/>
      <c r="C115" s="562"/>
      <c r="D115" s="303" t="s">
        <v>1584</v>
      </c>
      <c r="E115" s="303"/>
      <c r="F115" s="303"/>
      <c r="G115" s="303"/>
      <c r="H115" s="563">
        <v>0</v>
      </c>
      <c r="I115" s="563">
        <v>0</v>
      </c>
      <c r="J115" s="563">
        <v>0</v>
      </c>
    </row>
    <row r="116" spans="1:10" x14ac:dyDescent="0.25">
      <c r="A116" s="150"/>
      <c r="B116" s="561"/>
      <c r="C116" s="562"/>
      <c r="D116" s="303" t="s">
        <v>1585</v>
      </c>
      <c r="E116" s="303"/>
      <c r="F116" s="303"/>
      <c r="G116" s="303"/>
      <c r="H116" s="563">
        <v>0</v>
      </c>
      <c r="I116" s="563">
        <v>0</v>
      </c>
      <c r="J116" s="563">
        <v>0</v>
      </c>
    </row>
    <row r="117" spans="1:10" x14ac:dyDescent="0.25">
      <c r="A117" s="150"/>
      <c r="B117" s="561"/>
      <c r="C117" s="562"/>
      <c r="D117" s="303" t="s">
        <v>1586</v>
      </c>
      <c r="E117" s="303"/>
      <c r="F117" s="303"/>
      <c r="G117" s="303"/>
      <c r="H117" s="563">
        <v>0</v>
      </c>
      <c r="I117" s="563">
        <v>0</v>
      </c>
      <c r="J117" s="563">
        <v>0</v>
      </c>
    </row>
    <row r="118" spans="1:10" x14ac:dyDescent="0.25">
      <c r="A118" s="150"/>
      <c r="B118" s="561"/>
      <c r="C118" s="562"/>
      <c r="D118" s="303" t="s">
        <v>1587</v>
      </c>
      <c r="E118" s="303"/>
      <c r="F118" s="303"/>
      <c r="G118" s="303"/>
      <c r="H118" s="563">
        <v>0</v>
      </c>
      <c r="I118" s="563">
        <v>0</v>
      </c>
      <c r="J118" s="563">
        <v>0</v>
      </c>
    </row>
    <row r="119" spans="1:10" x14ac:dyDescent="0.25">
      <c r="A119" s="150"/>
      <c r="B119" s="561"/>
      <c r="C119" s="562"/>
      <c r="D119" s="303" t="s">
        <v>1588</v>
      </c>
      <c r="E119" s="303"/>
      <c r="F119" s="303"/>
      <c r="G119" s="303"/>
      <c r="H119" s="563">
        <v>0</v>
      </c>
      <c r="I119" s="563">
        <v>0</v>
      </c>
      <c r="J119" s="563">
        <v>0</v>
      </c>
    </row>
    <row r="120" spans="1:10" x14ac:dyDescent="0.25">
      <c r="A120" s="150"/>
      <c r="B120" s="561"/>
      <c r="C120" s="562"/>
      <c r="D120" s="303" t="s">
        <v>1589</v>
      </c>
      <c r="E120" s="303"/>
      <c r="F120" s="303"/>
      <c r="G120" s="303"/>
      <c r="H120" s="563">
        <v>0</v>
      </c>
      <c r="I120" s="563">
        <v>0</v>
      </c>
      <c r="J120" s="563">
        <v>0</v>
      </c>
    </row>
    <row r="121" spans="1:10" x14ac:dyDescent="0.25">
      <c r="A121" s="150"/>
      <c r="B121" s="561"/>
      <c r="C121" s="562"/>
      <c r="D121" s="303" t="s">
        <v>1590</v>
      </c>
      <c r="E121" s="303"/>
      <c r="F121" s="303"/>
      <c r="G121" s="303"/>
      <c r="H121" s="563">
        <v>0</v>
      </c>
      <c r="I121" s="563">
        <v>0</v>
      </c>
      <c r="J121" s="563">
        <v>0</v>
      </c>
    </row>
    <row r="122" spans="1:10" x14ac:dyDescent="0.25">
      <c r="A122" s="150"/>
      <c r="B122" s="561"/>
      <c r="C122" s="562"/>
      <c r="D122" s="303" t="s">
        <v>1591</v>
      </c>
      <c r="E122" s="303"/>
      <c r="F122" s="303"/>
      <c r="G122" s="303"/>
      <c r="H122" s="563">
        <v>0</v>
      </c>
      <c r="I122" s="563">
        <v>0</v>
      </c>
      <c r="J122" s="563">
        <v>0</v>
      </c>
    </row>
    <row r="123" spans="1:10" x14ac:dyDescent="0.25">
      <c r="A123" s="150"/>
      <c r="B123" s="561"/>
      <c r="C123" s="562"/>
      <c r="D123" s="303" t="s">
        <v>1592</v>
      </c>
      <c r="E123" s="303"/>
      <c r="F123" s="303"/>
      <c r="G123" s="303"/>
      <c r="H123" s="563">
        <v>0</v>
      </c>
      <c r="I123" s="563">
        <v>0</v>
      </c>
      <c r="J123" s="563">
        <v>0</v>
      </c>
    </row>
    <row r="124" spans="1:10" x14ac:dyDescent="0.25">
      <c r="A124" s="150"/>
      <c r="B124" s="561"/>
      <c r="C124" s="562"/>
      <c r="D124" s="303" t="s">
        <v>1593</v>
      </c>
      <c r="E124" s="303"/>
      <c r="F124" s="303"/>
      <c r="G124" s="303"/>
      <c r="H124" s="563">
        <v>0</v>
      </c>
      <c r="I124" s="563">
        <v>0</v>
      </c>
      <c r="J124" s="563">
        <v>0</v>
      </c>
    </row>
    <row r="125" spans="1:10" x14ac:dyDescent="0.25">
      <c r="A125" s="150"/>
      <c r="B125" s="561"/>
      <c r="C125" s="562"/>
      <c r="D125" s="303" t="s">
        <v>1594</v>
      </c>
      <c r="E125" s="303"/>
      <c r="F125" s="303"/>
      <c r="G125" s="303"/>
      <c r="H125" s="563">
        <v>0</v>
      </c>
      <c r="I125" s="563">
        <v>0</v>
      </c>
      <c r="J125" s="563">
        <v>0</v>
      </c>
    </row>
    <row r="126" spans="1:10" x14ac:dyDescent="0.25">
      <c r="A126" s="150"/>
      <c r="B126" s="561"/>
      <c r="C126" s="562"/>
      <c r="D126" s="303" t="s">
        <v>1595</v>
      </c>
      <c r="E126" s="303"/>
      <c r="F126" s="303"/>
      <c r="G126" s="303"/>
      <c r="H126" s="563">
        <v>0</v>
      </c>
      <c r="I126" s="563">
        <v>0</v>
      </c>
      <c r="J126" s="563">
        <v>0</v>
      </c>
    </row>
    <row r="127" spans="1:10" x14ac:dyDescent="0.25">
      <c r="A127" s="150"/>
      <c r="B127" s="561"/>
      <c r="C127" s="562"/>
      <c r="D127" s="303" t="s">
        <v>1596</v>
      </c>
      <c r="E127" s="303"/>
      <c r="F127" s="303"/>
      <c r="G127" s="303"/>
      <c r="H127" s="563">
        <v>0</v>
      </c>
      <c r="I127" s="563">
        <v>0</v>
      </c>
      <c r="J127" s="563">
        <v>0</v>
      </c>
    </row>
    <row r="128" spans="1:10" x14ac:dyDescent="0.25">
      <c r="A128" s="150"/>
      <c r="B128" s="561"/>
      <c r="C128" s="562"/>
      <c r="D128" s="303" t="s">
        <v>1597</v>
      </c>
      <c r="E128" s="303"/>
      <c r="F128" s="303"/>
      <c r="G128" s="303"/>
      <c r="H128" s="563">
        <v>0</v>
      </c>
      <c r="I128" s="563">
        <v>0</v>
      </c>
      <c r="J128" s="563">
        <v>0</v>
      </c>
    </row>
    <row r="129" spans="1:10" x14ac:dyDescent="0.25">
      <c r="A129" s="150"/>
      <c r="B129" s="561"/>
      <c r="C129" s="562"/>
      <c r="D129" s="303" t="s">
        <v>1598</v>
      </c>
      <c r="E129" s="303"/>
      <c r="F129" s="303"/>
      <c r="G129" s="303"/>
      <c r="H129" s="563">
        <v>0</v>
      </c>
      <c r="I129" s="563">
        <v>0</v>
      </c>
      <c r="J129" s="563">
        <v>0</v>
      </c>
    </row>
    <row r="130" spans="1:10" x14ac:dyDescent="0.25">
      <c r="A130" s="150"/>
      <c r="B130" s="561"/>
      <c r="C130" s="562"/>
      <c r="D130" s="303" t="s">
        <v>1599</v>
      </c>
      <c r="E130" s="303"/>
      <c r="F130" s="303"/>
      <c r="G130" s="303"/>
      <c r="H130" s="563">
        <v>0</v>
      </c>
      <c r="I130" s="563">
        <v>0</v>
      </c>
      <c r="J130" s="563">
        <v>0</v>
      </c>
    </row>
    <row r="131" spans="1:10" x14ac:dyDescent="0.25">
      <c r="A131" s="150"/>
      <c r="B131" s="561"/>
      <c r="C131" s="562"/>
      <c r="D131" s="303" t="s">
        <v>1600</v>
      </c>
      <c r="E131" s="303"/>
      <c r="F131" s="303"/>
      <c r="G131" s="303"/>
      <c r="H131" s="563">
        <v>0</v>
      </c>
      <c r="I131" s="563">
        <v>0</v>
      </c>
      <c r="J131" s="563">
        <v>0</v>
      </c>
    </row>
    <row r="132" spans="1:10" x14ac:dyDescent="0.25">
      <c r="A132" s="150"/>
      <c r="B132" s="561"/>
      <c r="C132" s="562"/>
      <c r="D132" s="303" t="s">
        <v>1601</v>
      </c>
      <c r="E132" s="303"/>
      <c r="F132" s="303"/>
      <c r="G132" s="303"/>
      <c r="H132" s="563">
        <v>0</v>
      </c>
      <c r="I132" s="563">
        <v>0</v>
      </c>
      <c r="J132" s="563">
        <v>0</v>
      </c>
    </row>
    <row r="133" spans="1:10" x14ac:dyDescent="0.25">
      <c r="A133" s="150"/>
      <c r="B133" s="561"/>
      <c r="C133" s="562"/>
      <c r="D133" s="303" t="s">
        <v>1602</v>
      </c>
      <c r="E133" s="303"/>
      <c r="F133" s="303"/>
      <c r="G133" s="303"/>
      <c r="H133" s="563">
        <v>0</v>
      </c>
      <c r="I133" s="563">
        <v>0</v>
      </c>
      <c r="J133" s="563">
        <v>0</v>
      </c>
    </row>
    <row r="134" spans="1:10" x14ac:dyDescent="0.25">
      <c r="A134" s="150"/>
      <c r="B134" s="561"/>
      <c r="C134" s="562"/>
      <c r="D134" s="303" t="s">
        <v>1603</v>
      </c>
      <c r="E134" s="303"/>
      <c r="F134" s="303"/>
      <c r="G134" s="303"/>
      <c r="H134" s="563">
        <v>0</v>
      </c>
      <c r="I134" s="563">
        <v>0</v>
      </c>
      <c r="J134" s="563">
        <v>0</v>
      </c>
    </row>
    <row r="135" spans="1:10" x14ac:dyDescent="0.25">
      <c r="A135" s="150"/>
      <c r="B135" s="561"/>
      <c r="C135" s="562"/>
      <c r="D135" s="303" t="s">
        <v>1604</v>
      </c>
      <c r="E135" s="303"/>
      <c r="F135" s="303"/>
      <c r="G135" s="303"/>
      <c r="H135" s="563">
        <v>0</v>
      </c>
      <c r="I135" s="563">
        <v>0</v>
      </c>
      <c r="J135" s="563">
        <v>0</v>
      </c>
    </row>
    <row r="136" spans="1:10" x14ac:dyDescent="0.25">
      <c r="A136" s="150"/>
      <c r="B136" s="561"/>
      <c r="C136" s="562"/>
      <c r="D136" s="303" t="s">
        <v>1605</v>
      </c>
      <c r="E136" s="303"/>
      <c r="F136" s="303"/>
      <c r="G136" s="303"/>
      <c r="H136" s="563">
        <v>0</v>
      </c>
      <c r="I136" s="563">
        <v>0</v>
      </c>
      <c r="J136" s="563">
        <v>0</v>
      </c>
    </row>
    <row r="137" spans="1:10" x14ac:dyDescent="0.25">
      <c r="A137" s="150"/>
      <c r="B137" s="561"/>
      <c r="C137" s="562"/>
      <c r="D137" s="303" t="s">
        <v>1606</v>
      </c>
      <c r="E137" s="303"/>
      <c r="F137" s="303"/>
      <c r="G137" s="303"/>
      <c r="H137" s="563">
        <v>0</v>
      </c>
      <c r="I137" s="563">
        <v>0</v>
      </c>
      <c r="J137" s="563">
        <v>0</v>
      </c>
    </row>
    <row r="138" spans="1:10" x14ac:dyDescent="0.25">
      <c r="A138" s="150"/>
      <c r="B138" s="561"/>
      <c r="C138" s="562"/>
      <c r="D138" s="303" t="s">
        <v>1607</v>
      </c>
      <c r="E138" s="303"/>
      <c r="F138" s="303"/>
      <c r="G138" s="303"/>
      <c r="H138" s="563">
        <v>0</v>
      </c>
      <c r="I138" s="563">
        <v>0</v>
      </c>
      <c r="J138" s="563">
        <v>0</v>
      </c>
    </row>
    <row r="139" spans="1:10" x14ac:dyDescent="0.25">
      <c r="A139" s="150"/>
      <c r="B139" s="561"/>
      <c r="C139" s="562"/>
      <c r="D139" s="303" t="s">
        <v>1608</v>
      </c>
      <c r="E139" s="303"/>
      <c r="F139" s="303"/>
      <c r="G139" s="303"/>
      <c r="H139" s="563">
        <v>0</v>
      </c>
      <c r="I139" s="563">
        <v>0</v>
      </c>
      <c r="J139" s="563">
        <v>0</v>
      </c>
    </row>
    <row r="140" spans="1:10" x14ac:dyDescent="0.25">
      <c r="A140" s="150"/>
      <c r="B140" s="561"/>
      <c r="C140" s="562"/>
      <c r="D140" s="303" t="s">
        <v>1609</v>
      </c>
      <c r="E140" s="303"/>
      <c r="F140" s="303"/>
      <c r="G140" s="303"/>
      <c r="H140" s="563">
        <v>0</v>
      </c>
      <c r="I140" s="563">
        <v>0</v>
      </c>
      <c r="J140" s="563">
        <v>0</v>
      </c>
    </row>
    <row r="141" spans="1:10" x14ac:dyDescent="0.25">
      <c r="A141" s="150"/>
      <c r="B141" s="561"/>
      <c r="C141" s="562"/>
      <c r="D141" s="303" t="s">
        <v>1610</v>
      </c>
      <c r="E141" s="303"/>
      <c r="F141" s="303"/>
      <c r="G141" s="303"/>
      <c r="H141" s="563">
        <v>0</v>
      </c>
      <c r="I141" s="563">
        <v>0</v>
      </c>
      <c r="J141" s="563">
        <v>0</v>
      </c>
    </row>
    <row r="142" spans="1:10" x14ac:dyDescent="0.25">
      <c r="A142" s="150"/>
      <c r="B142" s="561"/>
      <c r="C142" s="562"/>
      <c r="D142" s="303" t="s">
        <v>1611</v>
      </c>
      <c r="E142" s="303"/>
      <c r="F142" s="303"/>
      <c r="G142" s="303"/>
      <c r="H142" s="563">
        <v>0</v>
      </c>
      <c r="I142" s="563">
        <v>0</v>
      </c>
      <c r="J142" s="563">
        <v>0</v>
      </c>
    </row>
    <row r="143" spans="1:10" x14ac:dyDescent="0.25">
      <c r="A143" s="150"/>
      <c r="B143" s="561"/>
      <c r="C143" s="562"/>
      <c r="D143" s="303" t="s">
        <v>1612</v>
      </c>
      <c r="E143" s="303"/>
      <c r="F143" s="303"/>
      <c r="G143" s="303"/>
      <c r="H143" s="563">
        <v>0</v>
      </c>
      <c r="I143" s="563">
        <v>0</v>
      </c>
      <c r="J143" s="563">
        <v>0</v>
      </c>
    </row>
    <row r="144" spans="1:10" x14ac:dyDescent="0.25">
      <c r="A144" s="150"/>
      <c r="B144" s="561"/>
      <c r="C144" s="562"/>
      <c r="D144" s="303" t="s">
        <v>1613</v>
      </c>
      <c r="E144" s="303"/>
      <c r="F144" s="303"/>
      <c r="G144" s="303"/>
      <c r="H144" s="563">
        <v>0</v>
      </c>
      <c r="I144" s="563">
        <v>0</v>
      </c>
      <c r="J144" s="563">
        <v>0</v>
      </c>
    </row>
    <row r="145" spans="1:10" x14ac:dyDescent="0.25">
      <c r="A145" s="150"/>
      <c r="B145" s="561"/>
      <c r="C145" s="562"/>
      <c r="D145" s="303" t="s">
        <v>1614</v>
      </c>
      <c r="E145" s="303"/>
      <c r="F145" s="303"/>
      <c r="G145" s="303"/>
      <c r="H145" s="563">
        <v>0</v>
      </c>
      <c r="I145" s="563">
        <v>0</v>
      </c>
      <c r="J145" s="563">
        <v>0</v>
      </c>
    </row>
    <row r="146" spans="1:10" x14ac:dyDescent="0.25">
      <c r="A146" s="150"/>
      <c r="B146" s="561"/>
      <c r="C146" s="562"/>
      <c r="D146" s="303" t="s">
        <v>1615</v>
      </c>
      <c r="E146" s="303"/>
      <c r="F146" s="303"/>
      <c r="G146" s="303"/>
      <c r="H146" s="563">
        <v>0</v>
      </c>
      <c r="I146" s="563">
        <v>0</v>
      </c>
      <c r="J146" s="563">
        <v>0</v>
      </c>
    </row>
    <row r="147" spans="1:10" x14ac:dyDescent="0.25">
      <c r="A147" s="150"/>
      <c r="B147" s="561"/>
      <c r="C147" s="562"/>
      <c r="D147" s="303" t="s">
        <v>1616</v>
      </c>
      <c r="E147" s="303"/>
      <c r="F147" s="303"/>
      <c r="G147" s="303"/>
      <c r="H147" s="563">
        <v>0</v>
      </c>
      <c r="I147" s="563">
        <v>0</v>
      </c>
      <c r="J147" s="563">
        <v>0</v>
      </c>
    </row>
    <row r="148" spans="1:10" x14ac:dyDescent="0.25">
      <c r="A148" s="150"/>
      <c r="B148" s="561"/>
      <c r="C148" s="562"/>
      <c r="D148" s="303" t="s">
        <v>1617</v>
      </c>
      <c r="E148" s="303"/>
      <c r="F148" s="303"/>
      <c r="G148" s="303"/>
      <c r="H148" s="563">
        <v>0</v>
      </c>
      <c r="I148" s="563">
        <v>0</v>
      </c>
      <c r="J148" s="563">
        <v>0</v>
      </c>
    </row>
    <row r="149" spans="1:10" x14ac:dyDescent="0.25">
      <c r="A149" s="150"/>
      <c r="B149" s="561"/>
      <c r="C149" s="562"/>
      <c r="D149" s="303" t="s">
        <v>1618</v>
      </c>
      <c r="E149" s="303"/>
      <c r="F149" s="303"/>
      <c r="G149" s="303"/>
      <c r="H149" s="563">
        <v>0</v>
      </c>
      <c r="I149" s="563">
        <v>0</v>
      </c>
      <c r="J149" s="563">
        <v>0</v>
      </c>
    </row>
    <row r="150" spans="1:10" x14ac:dyDescent="0.25">
      <c r="A150" s="150"/>
      <c r="B150" s="561"/>
      <c r="C150" s="562"/>
      <c r="D150" s="303" t="s">
        <v>1619</v>
      </c>
      <c r="E150" s="303"/>
      <c r="F150" s="303"/>
      <c r="G150" s="303"/>
      <c r="H150" s="563">
        <v>0</v>
      </c>
      <c r="I150" s="563">
        <v>0</v>
      </c>
      <c r="J150" s="563">
        <v>0</v>
      </c>
    </row>
    <row r="151" spans="1:10" x14ac:dyDescent="0.25">
      <c r="A151" s="150"/>
      <c r="B151" s="561"/>
      <c r="C151" s="562"/>
      <c r="D151" s="303" t="s">
        <v>1620</v>
      </c>
      <c r="E151" s="303"/>
      <c r="F151" s="303"/>
      <c r="G151" s="303"/>
      <c r="H151" s="563">
        <v>0</v>
      </c>
      <c r="I151" s="563">
        <v>0</v>
      </c>
      <c r="J151" s="563">
        <v>0</v>
      </c>
    </row>
    <row r="152" spans="1:10" x14ac:dyDescent="0.25">
      <c r="A152" s="150"/>
      <c r="B152" s="561"/>
      <c r="C152" s="562"/>
      <c r="D152" s="303" t="s">
        <v>1621</v>
      </c>
      <c r="E152" s="303"/>
      <c r="F152" s="303"/>
      <c r="G152" s="303"/>
      <c r="H152" s="563">
        <v>0</v>
      </c>
      <c r="I152" s="563">
        <v>0</v>
      </c>
      <c r="J152" s="563">
        <v>0</v>
      </c>
    </row>
    <row r="153" spans="1:10" x14ac:dyDescent="0.25">
      <c r="A153" s="150"/>
      <c r="B153" s="561"/>
      <c r="C153" s="562"/>
      <c r="D153" s="303" t="s">
        <v>1622</v>
      </c>
      <c r="E153" s="303"/>
      <c r="F153" s="303"/>
      <c r="G153" s="303"/>
      <c r="H153" s="563">
        <v>0</v>
      </c>
      <c r="I153" s="563">
        <v>0</v>
      </c>
      <c r="J153" s="563">
        <v>0</v>
      </c>
    </row>
    <row r="154" spans="1:10" x14ac:dyDescent="0.25">
      <c r="A154" s="150"/>
      <c r="B154" s="561"/>
      <c r="C154" s="562"/>
      <c r="D154" s="303" t="s">
        <v>1623</v>
      </c>
      <c r="E154" s="303"/>
      <c r="F154" s="303"/>
      <c r="G154" s="303"/>
      <c r="H154" s="563">
        <v>0</v>
      </c>
      <c r="I154" s="563">
        <v>0</v>
      </c>
      <c r="J154" s="563">
        <v>0</v>
      </c>
    </row>
    <row r="155" spans="1:10" x14ac:dyDescent="0.25">
      <c r="A155" s="150"/>
      <c r="B155" s="561"/>
      <c r="C155" s="562"/>
      <c r="D155" s="303" t="s">
        <v>1624</v>
      </c>
      <c r="E155" s="303"/>
      <c r="F155" s="303"/>
      <c r="G155" s="303"/>
      <c r="H155" s="563">
        <v>0</v>
      </c>
      <c r="I155" s="563">
        <v>0</v>
      </c>
      <c r="J155" s="563">
        <v>0</v>
      </c>
    </row>
    <row r="156" spans="1:10" x14ac:dyDescent="0.25">
      <c r="A156" s="150"/>
      <c r="B156" s="561"/>
      <c r="C156" s="562"/>
      <c r="D156" s="303" t="s">
        <v>1625</v>
      </c>
      <c r="E156" s="303"/>
      <c r="F156" s="303"/>
      <c r="G156" s="303"/>
      <c r="H156" s="563">
        <v>0</v>
      </c>
      <c r="I156" s="563">
        <v>0</v>
      </c>
      <c r="J156" s="563">
        <v>0</v>
      </c>
    </row>
    <row r="157" spans="1:10" x14ac:dyDescent="0.25">
      <c r="A157" s="150"/>
      <c r="B157" s="561"/>
      <c r="C157" s="562"/>
      <c r="D157" s="303" t="s">
        <v>1626</v>
      </c>
      <c r="E157" s="303"/>
      <c r="F157" s="303"/>
      <c r="G157" s="303"/>
      <c r="H157" s="563">
        <v>0</v>
      </c>
      <c r="I157" s="563">
        <v>0</v>
      </c>
      <c r="J157" s="563">
        <v>0</v>
      </c>
    </row>
    <row r="158" spans="1:10" x14ac:dyDescent="0.25">
      <c r="A158" s="150"/>
      <c r="B158" s="561"/>
      <c r="C158" s="562"/>
      <c r="D158" s="303" t="s">
        <v>1627</v>
      </c>
      <c r="E158" s="303"/>
      <c r="F158" s="303"/>
      <c r="G158" s="303"/>
      <c r="H158" s="563">
        <v>0</v>
      </c>
      <c r="I158" s="563">
        <v>0</v>
      </c>
      <c r="J158" s="563">
        <v>0</v>
      </c>
    </row>
    <row r="159" spans="1:10" x14ac:dyDescent="0.25">
      <c r="A159" s="150"/>
      <c r="B159" s="561"/>
      <c r="C159" s="562"/>
      <c r="D159" s="303" t="s">
        <v>1628</v>
      </c>
      <c r="E159" s="303"/>
      <c r="F159" s="303"/>
      <c r="G159" s="303"/>
      <c r="H159" s="563">
        <v>0</v>
      </c>
      <c r="I159" s="563">
        <v>0</v>
      </c>
      <c r="J159" s="563">
        <v>0</v>
      </c>
    </row>
    <row r="160" spans="1:10" x14ac:dyDescent="0.25">
      <c r="A160" s="150"/>
      <c r="B160" s="561"/>
      <c r="C160" s="562"/>
      <c r="D160" s="303" t="s">
        <v>1629</v>
      </c>
      <c r="E160" s="303"/>
      <c r="F160" s="303"/>
      <c r="G160" s="303"/>
      <c r="H160" s="563">
        <v>0</v>
      </c>
      <c r="I160" s="563">
        <v>0</v>
      </c>
      <c r="J160" s="563">
        <v>0</v>
      </c>
    </row>
    <row r="161" spans="1:10" x14ac:dyDescent="0.25">
      <c r="A161" s="150"/>
      <c r="B161" s="561"/>
      <c r="C161" s="562"/>
      <c r="D161" s="303" t="s">
        <v>1630</v>
      </c>
      <c r="E161" s="303"/>
      <c r="F161" s="303"/>
      <c r="G161" s="303"/>
      <c r="H161" s="563">
        <v>0</v>
      </c>
      <c r="I161" s="563">
        <v>0</v>
      </c>
      <c r="J161" s="563">
        <v>0</v>
      </c>
    </row>
    <row r="162" spans="1:10" x14ac:dyDescent="0.25">
      <c r="A162" s="150"/>
      <c r="B162" s="561"/>
      <c r="C162" s="562"/>
      <c r="D162" s="303" t="s">
        <v>1631</v>
      </c>
      <c r="E162" s="303"/>
      <c r="F162" s="303"/>
      <c r="G162" s="303"/>
      <c r="H162" s="563">
        <v>0</v>
      </c>
      <c r="I162" s="563">
        <v>0</v>
      </c>
      <c r="J162" s="563">
        <v>0</v>
      </c>
    </row>
    <row r="163" spans="1:10" x14ac:dyDescent="0.25">
      <c r="A163" s="150"/>
      <c r="B163" s="561"/>
      <c r="C163" s="562"/>
      <c r="D163" s="303" t="s">
        <v>1632</v>
      </c>
      <c r="E163" s="303"/>
      <c r="F163" s="303"/>
      <c r="G163" s="303"/>
      <c r="H163" s="563">
        <v>0</v>
      </c>
      <c r="I163" s="563">
        <v>0</v>
      </c>
      <c r="J163" s="563">
        <v>0</v>
      </c>
    </row>
  </sheetData>
  <sheetProtection algorithmName="SHA-512" hashValue="lBC/AAE1Z6DVN5iiw5amdxsP5H+8tTZ43F8emZJ+NLU0mwflSzHW1RwifaS+STcE/rlSIxAzYoafuNZuZiEdfw==" saltValue="nhq3NCufVjQfW4JHp98nIw==" spinCount="100000" sheet="1" objects="1" scenarios="1"/>
  <mergeCells count="3">
    <mergeCell ref="B16:D16"/>
    <mergeCell ref="B5:D5"/>
    <mergeCell ref="B19:D19"/>
  </mergeCells>
  <dataValidations count="3">
    <dataValidation type="whole" operator="greaterThan" allowBlank="1" showInputMessage="1" showErrorMessage="1" errorTitle="Whole numbers allowed only" error="All monies should be independently rounded to the nearest £1,000." sqref="H6:J13">
      <formula1>-99999999</formula1>
    </dataValidation>
    <dataValidation type="decimal" operator="greaterThanOrEqual" allowBlank="1" showInputMessage="1" showErrorMessage="1" errorTitle="Numeric values only" error="Numeric values only" sqref="H17:J17">
      <formula1>0</formula1>
    </dataValidation>
    <dataValidation type="whole" operator="greaterThan" allowBlank="1" showInputMessage="1" showErrorMessage="1" errorTitle="Whole numbers only allowed" error="All values should be whole numbers" sqref="H23:J163">
      <formula1>-999999999</formula1>
    </dataValidation>
  </dataValidations>
  <printOptions headings="1" gridLines="1"/>
  <pageMargins left="0.31496062992125984" right="0.31496062992125984" top="0.35433070866141736" bottom="0.35433070866141736" header="0.31496062992125984" footer="0.31496062992125984"/>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4"/>
  <sheetViews>
    <sheetView zoomScaleNormal="100" workbookViewId="0">
      <pane ySplit="3" topLeftCell="A4" activePane="bottomLeft" state="frozenSplit"/>
      <selection activeCell="D75" sqref="D75 D75"/>
      <selection pane="bottomLeft"/>
    </sheetView>
  </sheetViews>
  <sheetFormatPr defaultColWidth="9.28515625" defaultRowHeight="14.25" x14ac:dyDescent="0.2"/>
  <cols>
    <col min="1" max="1" width="11.5703125" style="23" bestFit="1" customWidth="1"/>
    <col min="2" max="2" width="29.85546875" style="23" bestFit="1" customWidth="1"/>
    <col min="3" max="3" width="44.85546875" style="23" bestFit="1" customWidth="1"/>
    <col min="4" max="4" width="117.7109375" style="23" bestFit="1" customWidth="1"/>
    <col min="5" max="5" width="9.28515625" style="22" customWidth="1"/>
    <col min="6" max="16384" width="9.28515625" style="22"/>
  </cols>
  <sheetData>
    <row r="1" spans="1:4" ht="15" x14ac:dyDescent="0.25">
      <c r="A1" s="608" t="s">
        <v>29</v>
      </c>
      <c r="B1" s="608"/>
      <c r="C1" s="608"/>
      <c r="D1" s="608"/>
    </row>
    <row r="3" spans="1:4" ht="15" x14ac:dyDescent="0.25">
      <c r="A3" s="24" t="s">
        <v>30</v>
      </c>
      <c r="B3" s="24" t="s">
        <v>31</v>
      </c>
      <c r="C3" s="24" t="s">
        <v>32</v>
      </c>
      <c r="D3" s="24" t="s">
        <v>33</v>
      </c>
    </row>
    <row r="4" spans="1:4" x14ac:dyDescent="0.2">
      <c r="A4" s="25">
        <v>43559</v>
      </c>
      <c r="B4" s="23" t="s">
        <v>34</v>
      </c>
      <c r="C4" s="23" t="s">
        <v>35</v>
      </c>
      <c r="D4" s="23" t="s">
        <v>36</v>
      </c>
    </row>
    <row r="5" spans="1:4" x14ac:dyDescent="0.2">
      <c r="A5" s="25">
        <v>43559</v>
      </c>
      <c r="B5" s="23" t="s">
        <v>34</v>
      </c>
      <c r="C5" s="23" t="s">
        <v>37</v>
      </c>
      <c r="D5" s="23" t="s">
        <v>36</v>
      </c>
    </row>
    <row r="6" spans="1:4" x14ac:dyDescent="0.2">
      <c r="A6" s="25">
        <v>43559</v>
      </c>
      <c r="B6" s="23" t="s">
        <v>34</v>
      </c>
      <c r="C6" s="23" t="s">
        <v>38</v>
      </c>
      <c r="D6" s="23" t="s">
        <v>36</v>
      </c>
    </row>
    <row r="7" spans="1:4" x14ac:dyDescent="0.2">
      <c r="A7" s="25">
        <v>43559</v>
      </c>
      <c r="B7" s="23" t="s">
        <v>34</v>
      </c>
      <c r="C7" s="23" t="s">
        <v>39</v>
      </c>
      <c r="D7" s="23" t="s">
        <v>36</v>
      </c>
    </row>
    <row r="8" spans="1:4" x14ac:dyDescent="0.2">
      <c r="A8" s="25">
        <v>43581</v>
      </c>
      <c r="B8" s="23" t="s">
        <v>34</v>
      </c>
      <c r="C8" s="23" t="s">
        <v>40</v>
      </c>
      <c r="D8" s="23" t="s">
        <v>41</v>
      </c>
    </row>
    <row r="9" spans="1:4" x14ac:dyDescent="0.2">
      <c r="A9" s="25">
        <v>43581</v>
      </c>
      <c r="B9" s="23" t="s">
        <v>34</v>
      </c>
      <c r="C9" s="23" t="s">
        <v>42</v>
      </c>
      <c r="D9" s="23" t="s">
        <v>41</v>
      </c>
    </row>
    <row r="10" spans="1:4" x14ac:dyDescent="0.2">
      <c r="A10" s="25">
        <v>43581</v>
      </c>
      <c r="B10" s="23" t="s">
        <v>34</v>
      </c>
      <c r="C10" s="23" t="s">
        <v>43</v>
      </c>
      <c r="D10" s="23" t="s">
        <v>41</v>
      </c>
    </row>
    <row r="11" spans="1:4" x14ac:dyDescent="0.2">
      <c r="A11" s="25">
        <v>43559</v>
      </c>
      <c r="B11" s="23" t="s">
        <v>34</v>
      </c>
      <c r="C11" s="23" t="s">
        <v>44</v>
      </c>
      <c r="D11" s="23" t="s">
        <v>36</v>
      </c>
    </row>
    <row r="12" spans="1:4" x14ac:dyDescent="0.2">
      <c r="A12" s="25">
        <v>43559</v>
      </c>
      <c r="B12" s="23" t="s">
        <v>34</v>
      </c>
      <c r="C12" s="23" t="s">
        <v>45</v>
      </c>
      <c r="D12" s="23" t="s">
        <v>46</v>
      </c>
    </row>
    <row r="13" spans="1:4" x14ac:dyDescent="0.2">
      <c r="A13" s="25">
        <v>43559</v>
      </c>
      <c r="B13" s="23" t="s">
        <v>34</v>
      </c>
      <c r="C13" s="23" t="s">
        <v>47</v>
      </c>
      <c r="D13" s="23" t="s">
        <v>46</v>
      </c>
    </row>
    <row r="14" spans="1:4" x14ac:dyDescent="0.2">
      <c r="A14" s="25">
        <v>43559</v>
      </c>
      <c r="B14" s="23" t="s">
        <v>34</v>
      </c>
      <c r="C14" s="23" t="s">
        <v>48</v>
      </c>
      <c r="D14" s="23" t="s">
        <v>49</v>
      </c>
    </row>
    <row r="15" spans="1:4" x14ac:dyDescent="0.2">
      <c r="A15" s="25">
        <v>43581</v>
      </c>
      <c r="B15" s="23" t="s">
        <v>34</v>
      </c>
      <c r="C15" s="23" t="s">
        <v>50</v>
      </c>
      <c r="D15" s="23" t="s">
        <v>51</v>
      </c>
    </row>
    <row r="16" spans="1:4" x14ac:dyDescent="0.2">
      <c r="A16" s="25">
        <v>43559</v>
      </c>
      <c r="B16" s="23" t="s">
        <v>34</v>
      </c>
      <c r="C16" s="23" t="s">
        <v>52</v>
      </c>
      <c r="D16" s="23" t="s">
        <v>53</v>
      </c>
    </row>
    <row r="17" spans="1:4" x14ac:dyDescent="0.2">
      <c r="A17" s="25">
        <v>43559</v>
      </c>
      <c r="B17" s="23" t="s">
        <v>34</v>
      </c>
      <c r="C17" s="23" t="s">
        <v>54</v>
      </c>
      <c r="D17" s="23" t="s">
        <v>36</v>
      </c>
    </row>
    <row r="18" spans="1:4" x14ac:dyDescent="0.2">
      <c r="A18" s="25">
        <v>43559</v>
      </c>
      <c r="B18" s="23" t="s">
        <v>34</v>
      </c>
      <c r="C18" s="23" t="s">
        <v>55</v>
      </c>
      <c r="D18" s="23" t="s">
        <v>56</v>
      </c>
    </row>
    <row r="19" spans="1:4" x14ac:dyDescent="0.2">
      <c r="A19" s="25">
        <v>43559</v>
      </c>
      <c r="B19" s="23" t="s">
        <v>57</v>
      </c>
      <c r="D19" s="23" t="s">
        <v>58</v>
      </c>
    </row>
    <row r="20" spans="1:4" x14ac:dyDescent="0.2">
      <c r="A20" s="25">
        <v>43559</v>
      </c>
      <c r="B20" s="23" t="s">
        <v>59</v>
      </c>
      <c r="D20" s="23" t="s">
        <v>60</v>
      </c>
    </row>
    <row r="21" spans="1:4" x14ac:dyDescent="0.2">
      <c r="A21" s="25">
        <v>43559</v>
      </c>
      <c r="B21" s="23" t="s">
        <v>61</v>
      </c>
      <c r="C21" s="23" t="s">
        <v>62</v>
      </c>
      <c r="D21" s="23" t="s">
        <v>63</v>
      </c>
    </row>
    <row r="22" spans="1:4" x14ac:dyDescent="0.2">
      <c r="A22" s="25">
        <v>43559</v>
      </c>
      <c r="B22" s="23" t="s">
        <v>61</v>
      </c>
      <c r="C22" s="23" t="s">
        <v>64</v>
      </c>
      <c r="D22" s="23" t="s">
        <v>65</v>
      </c>
    </row>
    <row r="23" spans="1:4" x14ac:dyDescent="0.2">
      <c r="A23" s="25">
        <v>43559</v>
      </c>
      <c r="B23" s="23" t="s">
        <v>61</v>
      </c>
      <c r="C23" s="23" t="s">
        <v>64</v>
      </c>
      <c r="D23" s="23" t="s">
        <v>66</v>
      </c>
    </row>
    <row r="24" spans="1:4" x14ac:dyDescent="0.2">
      <c r="A24" s="25">
        <v>43559</v>
      </c>
      <c r="B24" s="23" t="s">
        <v>67</v>
      </c>
      <c r="C24" s="23" t="s">
        <v>62</v>
      </c>
      <c r="D24" s="23" t="s">
        <v>68</v>
      </c>
    </row>
    <row r="25" spans="1:4" x14ac:dyDescent="0.2">
      <c r="A25" s="25">
        <v>43559</v>
      </c>
      <c r="B25" s="23" t="s">
        <v>69</v>
      </c>
      <c r="C25" s="23" t="s">
        <v>70</v>
      </c>
      <c r="D25" s="23" t="s">
        <v>68</v>
      </c>
    </row>
    <row r="26" spans="1:4" x14ac:dyDescent="0.2">
      <c r="A26" s="25">
        <v>43559</v>
      </c>
      <c r="B26" s="23" t="s">
        <v>69</v>
      </c>
      <c r="C26" s="23" t="s">
        <v>71</v>
      </c>
      <c r="D26" s="23" t="s">
        <v>72</v>
      </c>
    </row>
    <row r="27" spans="1:4" x14ac:dyDescent="0.2">
      <c r="A27" s="25">
        <v>43559</v>
      </c>
      <c r="B27" s="23" t="s">
        <v>73</v>
      </c>
      <c r="D27" s="23" t="s">
        <v>60</v>
      </c>
    </row>
    <row r="28" spans="1:4" x14ac:dyDescent="0.2">
      <c r="A28" s="25">
        <v>43559</v>
      </c>
      <c r="B28" s="23" t="s">
        <v>74</v>
      </c>
      <c r="C28" s="23" t="s">
        <v>75</v>
      </c>
      <c r="D28" s="23" t="s">
        <v>76</v>
      </c>
    </row>
    <row r="29" spans="1:4" x14ac:dyDescent="0.2">
      <c r="A29" s="25">
        <v>43559</v>
      </c>
      <c r="B29" s="23" t="s">
        <v>77</v>
      </c>
      <c r="C29" s="23" t="s">
        <v>78</v>
      </c>
      <c r="D29" s="23" t="s">
        <v>79</v>
      </c>
    </row>
    <row r="30" spans="1:4" x14ac:dyDescent="0.2">
      <c r="A30" s="25">
        <v>43559</v>
      </c>
      <c r="B30" s="23" t="s">
        <v>80</v>
      </c>
      <c r="C30" s="23" t="s">
        <v>75</v>
      </c>
      <c r="D30" s="23" t="s">
        <v>81</v>
      </c>
    </row>
    <row r="31" spans="1:4" x14ac:dyDescent="0.2">
      <c r="A31" s="25">
        <v>43559</v>
      </c>
      <c r="B31" s="23" t="s">
        <v>80</v>
      </c>
      <c r="C31" s="23" t="s">
        <v>78</v>
      </c>
      <c r="D31" s="23" t="s">
        <v>82</v>
      </c>
    </row>
    <row r="32" spans="1:4" x14ac:dyDescent="0.2">
      <c r="A32" s="25">
        <v>43559</v>
      </c>
      <c r="B32" s="23" t="s">
        <v>80</v>
      </c>
      <c r="C32" s="23" t="s">
        <v>83</v>
      </c>
      <c r="D32" s="23" t="s">
        <v>84</v>
      </c>
    </row>
    <row r="33" spans="1:4" x14ac:dyDescent="0.2">
      <c r="A33" s="25">
        <v>43559</v>
      </c>
      <c r="B33" s="23" t="s">
        <v>34</v>
      </c>
      <c r="C33" s="23" t="s">
        <v>85</v>
      </c>
      <c r="D33" s="23" t="s">
        <v>86</v>
      </c>
    </row>
    <row r="34" spans="1:4" x14ac:dyDescent="0.2">
      <c r="A34" s="25">
        <v>43559</v>
      </c>
      <c r="B34" s="23" t="s">
        <v>34</v>
      </c>
      <c r="C34" s="23" t="s">
        <v>87</v>
      </c>
      <c r="D34" s="23" t="s">
        <v>86</v>
      </c>
    </row>
    <row r="35" spans="1:4" x14ac:dyDescent="0.2">
      <c r="A35" s="25">
        <v>43559</v>
      </c>
      <c r="B35" s="23" t="s">
        <v>34</v>
      </c>
      <c r="C35" s="23" t="s">
        <v>88</v>
      </c>
      <c r="D35" s="23" t="s">
        <v>86</v>
      </c>
    </row>
    <row r="36" spans="1:4" x14ac:dyDescent="0.2">
      <c r="A36" s="25">
        <v>43559</v>
      </c>
      <c r="B36" s="23" t="s">
        <v>34</v>
      </c>
      <c r="C36" s="23" t="s">
        <v>89</v>
      </c>
      <c r="D36" s="23" t="s">
        <v>90</v>
      </c>
    </row>
    <row r="37" spans="1:4" x14ac:dyDescent="0.2">
      <c r="A37" s="25">
        <v>43579</v>
      </c>
      <c r="B37" s="23" t="s">
        <v>91</v>
      </c>
      <c r="D37" s="23" t="s">
        <v>92</v>
      </c>
    </row>
    <row r="38" spans="1:4" x14ac:dyDescent="0.2">
      <c r="A38" s="25">
        <v>43579</v>
      </c>
      <c r="B38" s="23" t="s">
        <v>2</v>
      </c>
      <c r="C38" s="23" t="s">
        <v>93</v>
      </c>
      <c r="D38" s="23" t="s">
        <v>94</v>
      </c>
    </row>
    <row r="39" spans="1:4" x14ac:dyDescent="0.2">
      <c r="A39" s="25">
        <v>43579</v>
      </c>
      <c r="B39" s="23" t="s">
        <v>2</v>
      </c>
      <c r="C39" s="23" t="s">
        <v>95</v>
      </c>
      <c r="D39" s="23" t="s">
        <v>94</v>
      </c>
    </row>
    <row r="40" spans="1:4" x14ac:dyDescent="0.2">
      <c r="A40" s="25">
        <v>43579</v>
      </c>
      <c r="B40" s="23" t="s">
        <v>2</v>
      </c>
      <c r="C40" s="23" t="s">
        <v>96</v>
      </c>
      <c r="D40" s="23" t="s">
        <v>97</v>
      </c>
    </row>
    <row r="41" spans="1:4" x14ac:dyDescent="0.2">
      <c r="A41" s="25">
        <v>43579</v>
      </c>
      <c r="B41" s="23" t="s">
        <v>4</v>
      </c>
      <c r="C41" s="23" t="s">
        <v>98</v>
      </c>
      <c r="D41" s="23" t="s">
        <v>94</v>
      </c>
    </row>
    <row r="42" spans="1:4" x14ac:dyDescent="0.2">
      <c r="A42" s="25">
        <v>43579</v>
      </c>
      <c r="B42" s="23" t="s">
        <v>4</v>
      </c>
      <c r="C42" s="23" t="s">
        <v>99</v>
      </c>
      <c r="D42" s="23" t="s">
        <v>97</v>
      </c>
    </row>
    <row r="43" spans="1:4" x14ac:dyDescent="0.2">
      <c r="A43" s="25">
        <v>43579</v>
      </c>
      <c r="B43" s="23" t="s">
        <v>4</v>
      </c>
      <c r="C43" s="23" t="s">
        <v>100</v>
      </c>
      <c r="D43" s="23" t="s">
        <v>94</v>
      </c>
    </row>
    <row r="44" spans="1:4" x14ac:dyDescent="0.2">
      <c r="A44" s="25">
        <v>43579</v>
      </c>
      <c r="B44" s="23" t="s">
        <v>4</v>
      </c>
      <c r="C44" s="23" t="s">
        <v>101</v>
      </c>
      <c r="D44" s="23" t="s">
        <v>97</v>
      </c>
    </row>
    <row r="45" spans="1:4" x14ac:dyDescent="0.2">
      <c r="A45" s="25">
        <v>43581</v>
      </c>
      <c r="B45" s="23" t="s">
        <v>61</v>
      </c>
      <c r="C45" s="23" t="s">
        <v>62</v>
      </c>
      <c r="D45" s="23" t="s">
        <v>102</v>
      </c>
    </row>
    <row r="46" spans="1:4" x14ac:dyDescent="0.2">
      <c r="A46" s="25">
        <v>43587</v>
      </c>
      <c r="B46" s="23" t="s">
        <v>103</v>
      </c>
      <c r="D46" s="23" t="s">
        <v>104</v>
      </c>
    </row>
    <row r="47" spans="1:4" x14ac:dyDescent="0.2">
      <c r="A47" s="25">
        <v>43587</v>
      </c>
      <c r="B47" s="23" t="s">
        <v>57</v>
      </c>
      <c r="D47" s="23" t="s">
        <v>105</v>
      </c>
    </row>
    <row r="48" spans="1:4" x14ac:dyDescent="0.2">
      <c r="A48" s="25">
        <v>43592</v>
      </c>
      <c r="B48" s="23" t="s">
        <v>106</v>
      </c>
      <c r="D48" s="23" t="s">
        <v>107</v>
      </c>
    </row>
    <row r="49" spans="1:4" x14ac:dyDescent="0.2">
      <c r="A49" s="25">
        <v>43592</v>
      </c>
      <c r="B49" s="23" t="s">
        <v>108</v>
      </c>
      <c r="D49" s="23" t="s">
        <v>107</v>
      </c>
    </row>
    <row r="50" spans="1:4" x14ac:dyDescent="0.2">
      <c r="A50" s="25">
        <v>43698</v>
      </c>
      <c r="B50" s="23" t="s">
        <v>6</v>
      </c>
      <c r="C50" s="23" t="s">
        <v>109</v>
      </c>
      <c r="D50" s="23" t="s">
        <v>110</v>
      </c>
    </row>
    <row r="51" spans="1:4" x14ac:dyDescent="0.2">
      <c r="A51" s="25">
        <v>43698</v>
      </c>
      <c r="B51" s="23" t="s">
        <v>4</v>
      </c>
      <c r="D51" s="23" t="s">
        <v>111</v>
      </c>
    </row>
    <row r="52" spans="1:4" x14ac:dyDescent="0.2">
      <c r="A52" s="25">
        <v>43698</v>
      </c>
      <c r="B52" s="23" t="s">
        <v>34</v>
      </c>
      <c r="C52" s="23" t="s">
        <v>112</v>
      </c>
      <c r="D52" s="23" t="s">
        <v>113</v>
      </c>
    </row>
    <row r="53" spans="1:4" x14ac:dyDescent="0.2">
      <c r="A53" s="25">
        <v>43698</v>
      </c>
      <c r="B53" s="23" t="s">
        <v>2</v>
      </c>
      <c r="C53" s="23" t="s">
        <v>114</v>
      </c>
      <c r="D53" s="23" t="s">
        <v>115</v>
      </c>
    </row>
    <row r="54" spans="1:4" x14ac:dyDescent="0.2">
      <c r="A54" s="25">
        <v>43698</v>
      </c>
      <c r="B54" s="23" t="s">
        <v>34</v>
      </c>
      <c r="C54" s="23" t="s">
        <v>116</v>
      </c>
      <c r="D54" s="23" t="s">
        <v>117</v>
      </c>
    </row>
    <row r="55" spans="1:4" x14ac:dyDescent="0.2">
      <c r="A55" s="25">
        <v>43698</v>
      </c>
      <c r="B55" s="23" t="s">
        <v>34</v>
      </c>
      <c r="C55" s="23" t="s">
        <v>118</v>
      </c>
      <c r="D55" s="23" t="s">
        <v>119</v>
      </c>
    </row>
    <row r="56" spans="1:4" x14ac:dyDescent="0.2">
      <c r="A56" s="25">
        <v>43698</v>
      </c>
      <c r="B56" s="23" t="s">
        <v>2</v>
      </c>
      <c r="C56" s="23" t="s">
        <v>120</v>
      </c>
      <c r="D56" s="23" t="s">
        <v>121</v>
      </c>
    </row>
    <row r="57" spans="1:4" x14ac:dyDescent="0.2">
      <c r="A57" s="25">
        <v>43698</v>
      </c>
      <c r="B57" s="23" t="s">
        <v>6</v>
      </c>
      <c r="C57" s="23" t="s">
        <v>75</v>
      </c>
      <c r="D57" s="23" t="s">
        <v>122</v>
      </c>
    </row>
    <row r="58" spans="1:4" x14ac:dyDescent="0.2">
      <c r="A58" s="25">
        <v>43698</v>
      </c>
      <c r="B58" s="23" t="s">
        <v>34</v>
      </c>
      <c r="C58" s="23" t="s">
        <v>123</v>
      </c>
      <c r="D58" s="23" t="s">
        <v>124</v>
      </c>
    </row>
    <row r="59" spans="1:4" x14ac:dyDescent="0.2">
      <c r="A59" s="25">
        <v>43698</v>
      </c>
      <c r="B59" s="23" t="s">
        <v>6</v>
      </c>
      <c r="C59" s="23" t="s">
        <v>78</v>
      </c>
      <c r="D59" s="23" t="s">
        <v>125</v>
      </c>
    </row>
    <row r="60" spans="1:4" x14ac:dyDescent="0.2">
      <c r="A60" s="25">
        <v>43699</v>
      </c>
      <c r="B60" s="23" t="s">
        <v>15</v>
      </c>
      <c r="C60" s="23" t="s">
        <v>126</v>
      </c>
      <c r="D60" s="23" t="s">
        <v>127</v>
      </c>
    </row>
    <row r="61" spans="1:4" x14ac:dyDescent="0.2">
      <c r="A61" s="25">
        <v>43699</v>
      </c>
      <c r="B61" s="23" t="s">
        <v>15</v>
      </c>
      <c r="C61" s="23" t="s">
        <v>128</v>
      </c>
      <c r="D61" s="23" t="s">
        <v>129</v>
      </c>
    </row>
    <row r="62" spans="1:4" x14ac:dyDescent="0.2">
      <c r="A62" s="25">
        <v>43699</v>
      </c>
      <c r="B62" s="23" t="s">
        <v>34</v>
      </c>
      <c r="C62" s="23" t="s">
        <v>130</v>
      </c>
      <c r="D62" s="23" t="s">
        <v>124</v>
      </c>
    </row>
    <row r="63" spans="1:4" x14ac:dyDescent="0.2">
      <c r="A63" s="25">
        <v>43699</v>
      </c>
      <c r="B63" s="23" t="s">
        <v>17</v>
      </c>
      <c r="C63" s="23" t="s">
        <v>131</v>
      </c>
      <c r="D63" s="23" t="s">
        <v>132</v>
      </c>
    </row>
    <row r="64" spans="1:4" x14ac:dyDescent="0.2">
      <c r="A64" s="25">
        <v>43699</v>
      </c>
      <c r="B64" s="23" t="s">
        <v>17</v>
      </c>
      <c r="C64" s="23" t="s">
        <v>133</v>
      </c>
      <c r="D64" s="23" t="s">
        <v>134</v>
      </c>
    </row>
    <row r="65" spans="1:4" x14ac:dyDescent="0.2">
      <c r="A65" s="25">
        <v>43699</v>
      </c>
      <c r="B65" s="23" t="s">
        <v>16</v>
      </c>
      <c r="C65" s="23" t="s">
        <v>135</v>
      </c>
      <c r="D65" s="23" t="s">
        <v>136</v>
      </c>
    </row>
    <row r="66" spans="1:4" x14ac:dyDescent="0.2">
      <c r="A66" s="25">
        <v>43699</v>
      </c>
      <c r="B66" s="23" t="s">
        <v>16</v>
      </c>
      <c r="C66" s="23" t="s">
        <v>101</v>
      </c>
      <c r="D66" s="23" t="s">
        <v>137</v>
      </c>
    </row>
    <row r="67" spans="1:4" x14ac:dyDescent="0.2">
      <c r="A67" s="25">
        <v>43700</v>
      </c>
      <c r="B67" s="23" t="s">
        <v>34</v>
      </c>
      <c r="C67" s="23" t="s">
        <v>138</v>
      </c>
      <c r="D67" s="23" t="s">
        <v>124</v>
      </c>
    </row>
    <row r="68" spans="1:4" x14ac:dyDescent="0.2">
      <c r="A68" s="25">
        <v>43700</v>
      </c>
      <c r="B68" s="23" t="s">
        <v>19</v>
      </c>
      <c r="C68" s="23" t="s">
        <v>120</v>
      </c>
      <c r="D68" s="23" t="s">
        <v>139</v>
      </c>
    </row>
    <row r="69" spans="1:4" x14ac:dyDescent="0.2">
      <c r="A69" s="25">
        <v>43700</v>
      </c>
      <c r="B69" s="23" t="s">
        <v>34</v>
      </c>
      <c r="C69" s="23" t="s">
        <v>140</v>
      </c>
      <c r="D69" s="23" t="s">
        <v>141</v>
      </c>
    </row>
    <row r="70" spans="1:4" x14ac:dyDescent="0.2">
      <c r="A70" s="25">
        <v>43700</v>
      </c>
      <c r="B70" s="23" t="s">
        <v>106</v>
      </c>
      <c r="C70" s="23" t="s">
        <v>142</v>
      </c>
      <c r="D70" s="23" t="s">
        <v>143</v>
      </c>
    </row>
    <row r="71" spans="1:4" x14ac:dyDescent="0.2">
      <c r="A71" s="25">
        <v>43700</v>
      </c>
      <c r="B71" s="23" t="s">
        <v>34</v>
      </c>
      <c r="C71" s="23" t="s">
        <v>144</v>
      </c>
      <c r="D71" s="23" t="s">
        <v>124</v>
      </c>
    </row>
    <row r="72" spans="1:4" x14ac:dyDescent="0.2">
      <c r="A72" s="25">
        <v>43700</v>
      </c>
      <c r="B72" s="23" t="s">
        <v>106</v>
      </c>
      <c r="C72" s="23" t="s">
        <v>78</v>
      </c>
      <c r="D72" s="23" t="s">
        <v>145</v>
      </c>
    </row>
    <row r="73" spans="1:4" x14ac:dyDescent="0.2">
      <c r="A73" s="25">
        <v>43700</v>
      </c>
      <c r="B73" s="23" t="s">
        <v>10</v>
      </c>
      <c r="C73" s="23" t="s">
        <v>146</v>
      </c>
      <c r="D73" s="23" t="s">
        <v>147</v>
      </c>
    </row>
    <row r="74" spans="1:4" x14ac:dyDescent="0.2">
      <c r="A74" s="25">
        <v>43700</v>
      </c>
      <c r="B74" s="23" t="s">
        <v>148</v>
      </c>
      <c r="C74" s="23" t="s">
        <v>149</v>
      </c>
      <c r="D74" s="23" t="s">
        <v>150</v>
      </c>
    </row>
  </sheetData>
  <sheetProtection algorithmName="SHA-512" hashValue="projl4ynf5FMIz5BacUyptR1tW8Jsvw9QUJezmLWD7CDe976XL1dSmPSQFCnBiuvI/LF1rx8Tpq9IsD3uhu29Q==" saltValue="EyvyPpv9YhB7b0FsUhvnCw==" spinCount="100000" sheet="1" objects="1" scenarios="1"/>
  <mergeCells count="1">
    <mergeCell ref="A1:D1"/>
  </mergeCells>
  <phoneticPr fontId="46" type="noConversion"/>
  <printOptions gridLines="1"/>
  <pageMargins left="0.51181102362204722" right="0.51181102362204722" top="0.35433070866141736" bottom="0.35433070866141736" header="0.11811023622047245" footer="0.11811023622047245"/>
  <pageSetup paperSize="9" scale="5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workbookViewId="0"/>
  </sheetViews>
  <sheetFormatPr defaultColWidth="10" defaultRowHeight="15" x14ac:dyDescent="0.25"/>
  <cols>
    <col min="1" max="1" width="10" style="3" customWidth="1"/>
    <col min="2" max="2" width="1.85546875" style="3" customWidth="1"/>
    <col min="3" max="3" width="2.7109375" style="3" customWidth="1"/>
    <col min="4" max="4" width="114.5703125" style="3" customWidth="1"/>
    <col min="5" max="5" width="0" style="3" hidden="1" customWidth="1"/>
    <col min="6" max="7" width="73.7109375" style="3" hidden="1" customWidth="1"/>
    <col min="8" max="8" width="17.85546875" style="3" customWidth="1"/>
    <col min="9" max="9" width="16.42578125" style="3" customWidth="1"/>
    <col min="10" max="10" width="16.42578125" style="3" hidden="1" customWidth="1"/>
  </cols>
  <sheetData>
    <row r="1" spans="1:10" ht="47.25" customHeight="1" x14ac:dyDescent="0.25">
      <c r="A1" s="542" t="s">
        <v>1633</v>
      </c>
      <c r="B1" s="131"/>
      <c r="C1" s="131"/>
      <c r="D1" s="131"/>
      <c r="E1" s="131"/>
      <c r="F1" s="131"/>
      <c r="G1" s="131"/>
      <c r="H1" s="497"/>
      <c r="I1" s="133" t="s">
        <v>780</v>
      </c>
      <c r="J1" s="133" t="s">
        <v>780</v>
      </c>
    </row>
    <row r="2" spans="1:10" ht="41.25" customHeight="1" x14ac:dyDescent="0.25">
      <c r="A2" s="543"/>
      <c r="B2" s="207"/>
      <c r="C2" s="207"/>
      <c r="D2" s="207"/>
      <c r="E2" s="207"/>
      <c r="F2" s="207"/>
      <c r="G2" s="207"/>
      <c r="H2" s="500"/>
      <c r="I2" s="139" t="s">
        <v>781</v>
      </c>
      <c r="J2" s="139" t="s">
        <v>782</v>
      </c>
    </row>
    <row r="3" spans="1:10" ht="30.95" customHeight="1" x14ac:dyDescent="0.25">
      <c r="A3" s="544"/>
      <c r="B3" s="142"/>
      <c r="C3" s="142"/>
      <c r="D3" s="142"/>
      <c r="E3" s="142"/>
      <c r="F3" s="143"/>
      <c r="G3" s="142"/>
      <c r="H3" s="26" t="str">
        <f>'Hide_me(drop_downs)'!I1</f>
        <v>Year ended 31 July 2019</v>
      </c>
      <c r="I3" s="27" t="str">
        <f>'Hide_me(drop_downs)'!J1</f>
        <v>Year ended 31 July 2018</v>
      </c>
      <c r="J3" s="27" t="str">
        <f>'Hide_me(drop_downs)'!J1</f>
        <v>Year ended 31 July 2018</v>
      </c>
    </row>
    <row r="4" spans="1:10" ht="15.4" customHeight="1" x14ac:dyDescent="0.25">
      <c r="A4" s="545"/>
      <c r="B4" s="146"/>
      <c r="C4" s="146"/>
      <c r="D4" s="146"/>
      <c r="E4" s="146"/>
      <c r="F4" s="147"/>
      <c r="G4" s="147"/>
      <c r="H4" s="148" t="s">
        <v>784</v>
      </c>
      <c r="I4" s="27" t="s">
        <v>784</v>
      </c>
      <c r="J4" s="27" t="s">
        <v>784</v>
      </c>
    </row>
    <row r="5" spans="1:10" x14ac:dyDescent="0.25">
      <c r="A5" s="150">
        <v>1</v>
      </c>
      <c r="B5" s="686" t="s">
        <v>1634</v>
      </c>
      <c r="C5" s="687"/>
      <c r="D5" s="687"/>
      <c r="E5" s="687"/>
      <c r="F5" s="688"/>
      <c r="G5" s="153"/>
      <c r="H5" s="154"/>
      <c r="I5" s="154"/>
      <c r="J5" s="154"/>
    </row>
    <row r="6" spans="1:10" x14ac:dyDescent="0.25">
      <c r="A6" s="150" t="s">
        <v>789</v>
      </c>
      <c r="B6" s="174"/>
      <c r="C6" s="682" t="s">
        <v>1635</v>
      </c>
      <c r="D6" s="682"/>
      <c r="E6" s="682"/>
      <c r="F6" s="683"/>
      <c r="G6" s="565"/>
      <c r="H6" s="161">
        <v>0</v>
      </c>
      <c r="I6" s="161">
        <v>0</v>
      </c>
      <c r="J6" s="161">
        <v>0</v>
      </c>
    </row>
    <row r="7" spans="1:10" x14ac:dyDescent="0.25">
      <c r="A7" s="150" t="s">
        <v>791</v>
      </c>
      <c r="B7" s="174"/>
      <c r="C7" s="682" t="s">
        <v>1636</v>
      </c>
      <c r="D7" s="682"/>
      <c r="E7" s="682"/>
      <c r="F7" s="683"/>
      <c r="G7" s="565"/>
      <c r="H7" s="161">
        <v>0</v>
      </c>
      <c r="I7" s="161">
        <v>0</v>
      </c>
      <c r="J7" s="161">
        <v>0</v>
      </c>
    </row>
    <row r="8" spans="1:10" x14ac:dyDescent="0.25">
      <c r="A8" s="150" t="s">
        <v>793</v>
      </c>
      <c r="B8" s="174"/>
      <c r="C8" s="682" t="s">
        <v>1637</v>
      </c>
      <c r="D8" s="682"/>
      <c r="E8" s="682"/>
      <c r="F8" s="683"/>
      <c r="G8" s="565"/>
      <c r="H8" s="161">
        <v>0</v>
      </c>
      <c r="I8" s="161">
        <v>0</v>
      </c>
      <c r="J8" s="161">
        <v>0</v>
      </c>
    </row>
    <row r="9" spans="1:10" ht="14.65" customHeight="1" x14ac:dyDescent="0.25">
      <c r="A9" s="150" t="s">
        <v>795</v>
      </c>
      <c r="B9" s="174"/>
      <c r="C9" s="682" t="s">
        <v>1638</v>
      </c>
      <c r="D9" s="682"/>
      <c r="E9" s="682"/>
      <c r="F9" s="683"/>
      <c r="G9" s="158"/>
      <c r="H9" s="684" t="s">
        <v>1639</v>
      </c>
      <c r="I9" s="666"/>
      <c r="J9"/>
    </row>
    <row r="10" spans="1:10" x14ac:dyDescent="0.25">
      <c r="A10" s="150" t="s">
        <v>797</v>
      </c>
      <c r="B10" s="525"/>
      <c r="C10" s="682" t="s">
        <v>1640</v>
      </c>
      <c r="D10" s="682"/>
      <c r="E10" s="682"/>
      <c r="F10" s="683"/>
      <c r="G10" s="565"/>
      <c r="H10" s="161">
        <v>0</v>
      </c>
      <c r="I10" s="161">
        <v>0</v>
      </c>
      <c r="J10" s="161">
        <v>0</v>
      </c>
    </row>
    <row r="11" spans="1:10" x14ac:dyDescent="0.25">
      <c r="A11" s="150"/>
      <c r="B11" s="175"/>
      <c r="C11" s="685"/>
      <c r="D11" s="685"/>
      <c r="E11" s="159"/>
      <c r="F11" s="160"/>
      <c r="G11" s="160"/>
      <c r="H11" s="566"/>
      <c r="I11" s="566"/>
      <c r="J11" s="566"/>
    </row>
    <row r="12" spans="1:10" x14ac:dyDescent="0.25">
      <c r="A12" s="150">
        <v>2</v>
      </c>
      <c r="B12" s="567" t="s">
        <v>1641</v>
      </c>
      <c r="C12" s="510"/>
      <c r="D12" s="152"/>
      <c r="E12" s="152"/>
      <c r="F12" s="153"/>
      <c r="G12" s="153"/>
      <c r="H12" s="154"/>
      <c r="I12" s="154"/>
      <c r="J12" s="154"/>
    </row>
    <row r="13" spans="1:10" x14ac:dyDescent="0.25">
      <c r="A13" s="150" t="s">
        <v>804</v>
      </c>
      <c r="B13" s="174"/>
      <c r="C13" s="682" t="s">
        <v>1642</v>
      </c>
      <c r="D13" s="682"/>
      <c r="E13" s="682"/>
      <c r="F13" s="683"/>
      <c r="G13" s="565"/>
      <c r="H13" s="166"/>
      <c r="I13" s="166"/>
      <c r="J13" s="166"/>
    </row>
    <row r="14" spans="1:10" x14ac:dyDescent="0.25">
      <c r="A14" s="150" t="s">
        <v>1137</v>
      </c>
      <c r="B14" s="270"/>
      <c r="C14" s="158"/>
      <c r="D14" s="682" t="s">
        <v>1643</v>
      </c>
      <c r="E14" s="682"/>
      <c r="F14" s="683"/>
      <c r="G14" s="565"/>
      <c r="H14" s="161">
        <v>0</v>
      </c>
      <c r="I14" s="161">
        <v>168</v>
      </c>
      <c r="J14" s="161">
        <v>168</v>
      </c>
    </row>
    <row r="15" spans="1:10" x14ac:dyDescent="0.25">
      <c r="A15" s="150" t="s">
        <v>1139</v>
      </c>
      <c r="B15" s="270"/>
      <c r="C15" s="158"/>
      <c r="D15" s="682" t="s">
        <v>1644</v>
      </c>
      <c r="E15" s="682"/>
      <c r="F15" s="683"/>
      <c r="G15" s="565"/>
      <c r="H15" s="161">
        <v>0</v>
      </c>
      <c r="I15" s="161">
        <v>1</v>
      </c>
      <c r="J15" s="161">
        <v>1</v>
      </c>
    </row>
    <row r="16" spans="1:10" x14ac:dyDescent="0.25">
      <c r="A16" s="150" t="s">
        <v>806</v>
      </c>
      <c r="B16" s="174"/>
      <c r="C16" s="682" t="s">
        <v>1645</v>
      </c>
      <c r="D16" s="682"/>
      <c r="E16" s="682"/>
      <c r="F16" s="683"/>
      <c r="G16" s="565"/>
      <c r="H16" s="568"/>
      <c r="I16" s="568"/>
      <c r="J16" s="568"/>
    </row>
    <row r="17" spans="1:10" x14ac:dyDescent="0.25">
      <c r="A17" s="150" t="s">
        <v>1137</v>
      </c>
      <c r="B17" s="158"/>
      <c r="C17" s="158"/>
      <c r="D17" s="682" t="s">
        <v>1643</v>
      </c>
      <c r="E17" s="682"/>
      <c r="F17" s="683"/>
      <c r="G17" s="565"/>
      <c r="H17" s="161">
        <v>0</v>
      </c>
      <c r="I17" s="161">
        <v>0</v>
      </c>
      <c r="J17" s="161">
        <v>0</v>
      </c>
    </row>
    <row r="18" spans="1:10" x14ac:dyDescent="0.25">
      <c r="A18" s="150" t="s">
        <v>1139</v>
      </c>
      <c r="B18" s="175"/>
      <c r="C18" s="175"/>
      <c r="D18" s="682" t="s">
        <v>1644</v>
      </c>
      <c r="E18" s="682"/>
      <c r="F18" s="683"/>
      <c r="G18" s="565"/>
      <c r="H18" s="161">
        <v>0</v>
      </c>
      <c r="I18" s="161">
        <v>0</v>
      </c>
      <c r="J18" s="161">
        <v>0</v>
      </c>
    </row>
    <row r="20" spans="1:10" x14ac:dyDescent="0.25">
      <c r="A20" s="150">
        <v>3</v>
      </c>
      <c r="B20" s="679" t="s">
        <v>1646</v>
      </c>
      <c r="C20" s="680"/>
      <c r="D20" s="680"/>
      <c r="E20" s="680"/>
      <c r="F20" s="681"/>
      <c r="G20" s="565"/>
      <c r="H20" s="161" t="s">
        <v>155</v>
      </c>
      <c r="I20" s="161" t="s">
        <v>155</v>
      </c>
      <c r="J20" s="166"/>
    </row>
  </sheetData>
  <sheetProtection algorithmName="SHA-512" hashValue="R2safqjPjiyOoNgfM1veztMYOdjPdld0q+2h3TKxEM6Lcjcb8IR/nCk2VyYCmYtStpg7Li4xFJwmNG81oSs6bg==" saltValue="/hH3ikYot0RgaXK4fvLLeA==" spinCount="100000" sheet="1" objects="1" scenarios="1"/>
  <mergeCells count="15">
    <mergeCell ref="C8:F8"/>
    <mergeCell ref="C9:F9"/>
    <mergeCell ref="C10:F10"/>
    <mergeCell ref="B5:F5"/>
    <mergeCell ref="C6:F6"/>
    <mergeCell ref="C7:F7"/>
    <mergeCell ref="B20:F20"/>
    <mergeCell ref="D17:F17"/>
    <mergeCell ref="D18:F18"/>
    <mergeCell ref="H9:I9"/>
    <mergeCell ref="C11:D11"/>
    <mergeCell ref="C13:F13"/>
    <mergeCell ref="C16:F16"/>
    <mergeCell ref="D14:F14"/>
    <mergeCell ref="D15:F15"/>
  </mergeCells>
  <dataValidations count="6">
    <dataValidation type="whole" operator="greaterThan" allowBlank="1" showInputMessage="1" showErrorMessage="1" errorTitle="Whole numbers allowed only" error="All monies should be independently rounded to the nearest £1,000." sqref="H6:J8">
      <formula1>-99999999</formula1>
    </dataValidation>
    <dataValidation type="whole" operator="greaterThan" allowBlank="1" showInputMessage="1" showErrorMessage="1" errorTitle="Whole numbers allowed only" error="All monies should be independently rounded to the nearest £1,000." sqref="H10:J10">
      <formula1>-99999999</formula1>
    </dataValidation>
    <dataValidation type="whole" operator="greaterThan" allowBlank="1" showInputMessage="1" showErrorMessage="1" errorTitle="Whole numbers allowed only" error="All monies should be independently rounded to the nearest £1,000." sqref="H14:J14">
      <formula1>-99999999</formula1>
    </dataValidation>
    <dataValidation type="whole" operator="greaterThan" allowBlank="1" showInputMessage="1" showErrorMessage="1" errorTitle="Whole numbers allowed only" error="All monies should be independently rounded to the nearest £1,000." sqref="H17:J17">
      <formula1>-99999999</formula1>
    </dataValidation>
    <dataValidation type="whole" operator="greaterThanOrEqual" allowBlank="1" showInputMessage="1" showErrorMessage="1" errorTitle="Whole numbers only" error="Whole numbers only." sqref="H15:J15">
      <formula1>0</formula1>
    </dataValidation>
    <dataValidation type="whole" operator="greaterThanOrEqual" allowBlank="1" showInputMessage="1" showErrorMessage="1" errorTitle="Whole numbers only" error="Whole numbers only." sqref="H18:J18">
      <formula1>0</formula1>
    </dataValidation>
  </dataValidations>
  <printOptions headings="1" gridLines="1"/>
  <pageMargins left="0.31496062992125984" right="0.31496062992125984" top="0.74803149606299213" bottom="0.74803149606299213" header="0.31496062992125984" footer="0.31496062992125984"/>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'Hide_me(drop_downs)'!$A$2:$A$3</xm:f>
          </x14:formula1>
          <xm:sqref>H20 I20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19"/>
  <sheetViews>
    <sheetView zoomScaleNormal="100" workbookViewId="0"/>
  </sheetViews>
  <sheetFormatPr defaultColWidth="9.140625" defaultRowHeight="15" x14ac:dyDescent="0.25"/>
  <cols>
    <col min="1" max="1" width="9.140625" style="3" customWidth="1"/>
    <col min="2" max="2" width="36.5703125" style="3" customWidth="1"/>
    <col min="3" max="3" width="9.85546875" style="3" customWidth="1"/>
    <col min="4" max="4" width="82.85546875" style="3" customWidth="1"/>
    <col min="5" max="5" width="19.42578125" style="3" hidden="1" customWidth="1"/>
    <col min="6" max="6" width="18.42578125" style="3" hidden="1" customWidth="1"/>
    <col min="7" max="7" width="9.85546875" style="3" hidden="1" customWidth="1"/>
    <col min="8" max="8" width="11.85546875" style="3" hidden="1" customWidth="1"/>
    <col min="9" max="9" width="18" style="3" customWidth="1"/>
    <col min="10" max="10" width="9.140625" style="3" customWidth="1"/>
    <col min="11" max="16384" width="9.140625" style="3"/>
  </cols>
  <sheetData>
    <row r="1" spans="1:9" customFormat="1" ht="15.4" customHeight="1" x14ac:dyDescent="0.25">
      <c r="A1" s="569" t="s">
        <v>1647</v>
      </c>
      <c r="B1" s="569"/>
      <c r="C1" s="570"/>
      <c r="D1" s="570"/>
      <c r="E1" s="569"/>
      <c r="F1" s="570"/>
      <c r="G1" s="570"/>
      <c r="H1" s="570"/>
      <c r="I1" s="571"/>
    </row>
    <row r="2" spans="1:9" customFormat="1" ht="15.95" customHeight="1" thickBot="1" x14ac:dyDescent="0.3">
      <c r="A2" s="569"/>
      <c r="B2" s="572"/>
      <c r="C2" s="572"/>
      <c r="D2" s="570"/>
      <c r="E2" s="693" t="s">
        <v>1299</v>
      </c>
      <c r="F2" s="694"/>
      <c r="G2" s="694"/>
      <c r="H2" s="694"/>
      <c r="I2" s="573"/>
    </row>
    <row r="3" spans="1:9" x14ac:dyDescent="0.25">
      <c r="A3" s="574"/>
      <c r="B3" s="575"/>
      <c r="C3" s="576"/>
      <c r="D3" s="576"/>
      <c r="E3" s="577"/>
      <c r="F3" s="577"/>
      <c r="G3" s="577"/>
      <c r="H3" s="577"/>
      <c r="I3" s="578"/>
    </row>
    <row r="4" spans="1:9" ht="25.5" x14ac:dyDescent="0.25">
      <c r="A4" s="579" t="s">
        <v>1648</v>
      </c>
      <c r="B4" s="695" t="s">
        <v>1649</v>
      </c>
      <c r="C4" s="696"/>
      <c r="D4" s="581" t="s">
        <v>1650</v>
      </c>
      <c r="E4" s="582" t="s">
        <v>1651</v>
      </c>
      <c r="F4" s="582" t="s">
        <v>1652</v>
      </c>
      <c r="G4" s="580" t="s">
        <v>1653</v>
      </c>
      <c r="H4" s="580" t="s">
        <v>1654</v>
      </c>
      <c r="I4" s="583" t="s">
        <v>785</v>
      </c>
    </row>
    <row r="5" spans="1:9" x14ac:dyDescent="0.25">
      <c r="A5" s="584">
        <v>1</v>
      </c>
      <c r="B5" s="697" t="s">
        <v>1655</v>
      </c>
      <c r="C5" s="698"/>
      <c r="D5" s="585" t="s">
        <v>1656</v>
      </c>
      <c r="E5" s="586">
        <v>1</v>
      </c>
      <c r="F5" s="587">
        <v>0</v>
      </c>
      <c r="G5" s="588">
        <f>Table_1_UK!H22</f>
        <v>-134431</v>
      </c>
      <c r="H5" s="588">
        <f>Table_1_UK!H12</f>
        <v>1101504</v>
      </c>
      <c r="I5" s="589">
        <f>ROUND(IF(H5=0,0,(100*G5)/H5),2)</f>
        <v>-12.2</v>
      </c>
    </row>
    <row r="6" spans="1:9" x14ac:dyDescent="0.25">
      <c r="A6" s="590">
        <v>2</v>
      </c>
      <c r="B6" s="689" t="s">
        <v>1657</v>
      </c>
      <c r="C6" s="690"/>
      <c r="D6" s="591" t="s">
        <v>1658</v>
      </c>
      <c r="E6" s="586">
        <v>2</v>
      </c>
      <c r="F6" s="592">
        <v>0</v>
      </c>
      <c r="G6" s="593">
        <f>Table_1_UK!H15</f>
        <v>756130</v>
      </c>
      <c r="H6" s="593">
        <f>Table_1_UK!H12</f>
        <v>1101504</v>
      </c>
      <c r="I6" s="589">
        <f>ROUND(IF(H6=0,0,(100*G6)/H6),2)</f>
        <v>68.650000000000006</v>
      </c>
    </row>
    <row r="7" spans="1:9" x14ac:dyDescent="0.25">
      <c r="A7" s="590">
        <v>3</v>
      </c>
      <c r="B7" s="691" t="s">
        <v>1659</v>
      </c>
      <c r="C7" s="699"/>
      <c r="D7" s="594" t="s">
        <v>1660</v>
      </c>
      <c r="E7" s="586">
        <v>3</v>
      </c>
      <c r="F7" s="592">
        <v>0</v>
      </c>
      <c r="G7" s="593">
        <f>Table_8_UK!L67</f>
        <v>41090</v>
      </c>
      <c r="H7" s="593">
        <f>Table_1_UK!H20</f>
        <v>1235935</v>
      </c>
      <c r="I7" s="589">
        <f>ROUND(IF(H7=0,0,(100*G7)/H7),2)</f>
        <v>3.32</v>
      </c>
    </row>
    <row r="8" spans="1:9" x14ac:dyDescent="0.25">
      <c r="A8" s="590">
        <v>4</v>
      </c>
      <c r="B8" s="689" t="s">
        <v>1661</v>
      </c>
      <c r="C8" s="690"/>
      <c r="D8" s="591" t="s">
        <v>1662</v>
      </c>
      <c r="E8" s="586">
        <v>4</v>
      </c>
      <c r="F8" s="592">
        <v>0</v>
      </c>
      <c r="G8" s="593">
        <f>Table_3_UK!H59+Table_3_UK!H60</f>
        <v>1549319</v>
      </c>
      <c r="H8" s="593">
        <f>Table_1_UK!H12</f>
        <v>1101504</v>
      </c>
      <c r="I8" s="589">
        <f>ROUND(IF(H8=0,0,(100*G8)/H8),2)</f>
        <v>140.65</v>
      </c>
    </row>
    <row r="9" spans="1:9" customFormat="1" ht="28.35" customHeight="1" x14ac:dyDescent="0.25">
      <c r="A9" s="590">
        <v>5</v>
      </c>
      <c r="B9" s="689" t="s">
        <v>1663</v>
      </c>
      <c r="C9" s="690"/>
      <c r="D9" s="591" t="s">
        <v>1664</v>
      </c>
      <c r="E9" s="595">
        <v>5</v>
      </c>
      <c r="F9" s="596">
        <v>0</v>
      </c>
      <c r="G9" s="593">
        <f>Table_3_UK!H27+Table_3_UK!H28+Table_3_UK!H29+Table_3_UK!H31+Table_3_UK!H42+Table_3_UK!H43+Table_3_UK!H44</f>
        <v>609789</v>
      </c>
      <c r="H9" s="597">
        <f>Table_1_UK!H12</f>
        <v>1101504</v>
      </c>
      <c r="I9" s="589">
        <f>ROUND(IF(H9=0,0,(100*G9)/H9),2)</f>
        <v>55.36</v>
      </c>
    </row>
    <row r="10" spans="1:9" x14ac:dyDescent="0.25">
      <c r="A10" s="590">
        <v>6</v>
      </c>
      <c r="B10" s="691" t="s">
        <v>1665</v>
      </c>
      <c r="C10" s="692"/>
      <c r="D10" s="598" t="s">
        <v>1666</v>
      </c>
      <c r="E10" s="595">
        <v>6</v>
      </c>
      <c r="F10" s="596">
        <v>0</v>
      </c>
      <c r="G10" s="597">
        <f>Table_3_UK!H53</f>
        <v>2054658</v>
      </c>
      <c r="H10" s="597">
        <f>Table_1_UK!H20</f>
        <v>1235935</v>
      </c>
      <c r="I10" s="589">
        <f>ROUND(IF(H10=0,0,(365*G10)/H10),1)</f>
        <v>606.79999999999995</v>
      </c>
    </row>
    <row r="11" spans="1:9" x14ac:dyDescent="0.25">
      <c r="A11" s="590">
        <v>7</v>
      </c>
      <c r="B11" s="691" t="s">
        <v>1667</v>
      </c>
      <c r="C11" s="692"/>
      <c r="D11" s="599" t="s">
        <v>1668</v>
      </c>
      <c r="E11" s="595">
        <v>7</v>
      </c>
      <c r="F11" s="596">
        <v>0</v>
      </c>
      <c r="G11" s="597">
        <f>Table_3_UK!H24</f>
        <v>587854</v>
      </c>
      <c r="H11" s="597">
        <f>Table_3_UK!H33</f>
        <v>345329</v>
      </c>
      <c r="I11" s="600">
        <f>ROUND(IF(H11=0,0,G11/H11),2)</f>
        <v>1.7</v>
      </c>
    </row>
    <row r="12" spans="1:9" customFormat="1" ht="32.25" customHeight="1" x14ac:dyDescent="0.25">
      <c r="A12" s="590">
        <v>8</v>
      </c>
      <c r="B12" s="689" t="s">
        <v>1669</v>
      </c>
      <c r="C12" s="690"/>
      <c r="D12" s="591" t="s">
        <v>1670</v>
      </c>
      <c r="E12" s="595">
        <v>8</v>
      </c>
      <c r="F12" s="596">
        <v>0</v>
      </c>
      <c r="G12" s="597">
        <f>Table_4_UK!H31</f>
        <v>63088</v>
      </c>
      <c r="H12" s="597">
        <f>Table_1_UK!H12</f>
        <v>1101504</v>
      </c>
      <c r="I12" s="589">
        <f>ROUND(IF(H12=0,0,(100*G12)/H12),2)</f>
        <v>5.73</v>
      </c>
    </row>
    <row r="13" spans="1:9" customFormat="1" ht="28.7" customHeight="1" thickBot="1" x14ac:dyDescent="0.3">
      <c r="A13" s="590">
        <v>9</v>
      </c>
      <c r="B13" s="689" t="s">
        <v>1671</v>
      </c>
      <c r="C13" s="690"/>
      <c r="D13" s="591" t="s">
        <v>1672</v>
      </c>
      <c r="E13" s="595">
        <v>9</v>
      </c>
      <c r="F13" s="596">
        <v>0</v>
      </c>
      <c r="G13" s="597">
        <f>Table_3_UK!H20+Table_3_UK!H21-Table_3_UK!H27</f>
        <v>445907</v>
      </c>
      <c r="H13" s="597">
        <f>Table_1_UK!H20-Table_1_UK!H18</f>
        <v>1172177</v>
      </c>
      <c r="I13" s="589">
        <f>ROUND(IF(H13=0,0,(365*G13)/H13),2)</f>
        <v>138.85</v>
      </c>
    </row>
    <row r="14" spans="1:9" x14ac:dyDescent="0.25">
      <c r="A14" s="601"/>
      <c r="B14" s="601"/>
      <c r="C14" s="601"/>
      <c r="D14" s="602"/>
      <c r="E14" s="602"/>
      <c r="F14" s="602"/>
      <c r="G14" s="602"/>
      <c r="H14" s="602"/>
      <c r="I14" s="602"/>
    </row>
    <row r="15" spans="1:9" x14ac:dyDescent="0.25">
      <c r="A15" s="603"/>
      <c r="B15" s="603"/>
      <c r="C15" s="603"/>
      <c r="D15" s="604"/>
      <c r="E15" s="604"/>
      <c r="F15" s="604"/>
      <c r="G15" s="604"/>
      <c r="H15" s="604"/>
      <c r="I15" s="604"/>
    </row>
    <row r="16" spans="1:9" x14ac:dyDescent="0.25">
      <c r="A16" s="603"/>
      <c r="B16" s="603"/>
      <c r="C16" s="603"/>
      <c r="D16" s="603"/>
      <c r="E16" s="164"/>
      <c r="F16" s="164"/>
    </row>
    <row r="17" spans="1:4" x14ac:dyDescent="0.25">
      <c r="A17" s="603"/>
      <c r="C17" s="603"/>
      <c r="D17" s="603"/>
    </row>
    <row r="18" spans="1:4" x14ac:dyDescent="0.25">
      <c r="C18" s="603"/>
      <c r="D18" s="603"/>
    </row>
    <row r="19" spans="1:4" x14ac:dyDescent="0.25">
      <c r="C19" s="603"/>
      <c r="D19" s="603"/>
    </row>
  </sheetData>
  <sheetProtection algorithmName="SHA-512" hashValue="Yr1rVVSidHMu0gsjInlTo7WIB2+daRrLSIefsq0srxTAge1vjFIm4Nm3S7Eh7Dp2K4UjN+Z3j677NuTTe9loXQ==" saltValue="kgaROj/qrNFux+LEYy7hBA==" spinCount="100000" sheet="1" objects="1" scenarios="1"/>
  <mergeCells count="11">
    <mergeCell ref="E2:H2"/>
    <mergeCell ref="B4:C4"/>
    <mergeCell ref="B5:C5"/>
    <mergeCell ref="B6:C6"/>
    <mergeCell ref="B7:C7"/>
    <mergeCell ref="B13:C13"/>
    <mergeCell ref="B10:C10"/>
    <mergeCell ref="B11:C11"/>
    <mergeCell ref="B12:C12"/>
    <mergeCell ref="B8:C8"/>
    <mergeCell ref="B9:C9"/>
  </mergeCells>
  <printOptions headings="1" gridLines="1"/>
  <pageMargins left="0.31496062992125984" right="0.31496062992125984" top="0.74803149606299213" bottom="0.74803149606299213" header="0.31496062992125984" footer="0.31496062992125984"/>
  <pageSetup paperSize="9" scale="64" orientation="landscape" r:id="rId1"/>
  <ignoredErrors>
    <ignoredError sqref="H13:I13 H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6"/>
  <sheetViews>
    <sheetView zoomScaleNormal="100" workbookViewId="0">
      <selection activeCell="A13" sqref="A13 A13:A15"/>
    </sheetView>
  </sheetViews>
  <sheetFormatPr defaultRowHeight="15" x14ac:dyDescent="0.25"/>
  <cols>
    <col min="1" max="1" width="10.7109375" style="3" bestFit="1" customWidth="1"/>
    <col min="2" max="8" width="9.140625" style="3" customWidth="1"/>
    <col min="9" max="9" width="33.28515625" style="3" bestFit="1" customWidth="1"/>
    <col min="10" max="10" width="29.28515625" style="3" customWidth="1"/>
  </cols>
  <sheetData>
    <row r="1" spans="1:10" ht="15.4" customHeight="1" x14ac:dyDescent="0.25">
      <c r="A1" s="4" t="s">
        <v>151</v>
      </c>
      <c r="B1"/>
      <c r="C1"/>
      <c r="D1"/>
      <c r="E1"/>
      <c r="F1"/>
      <c r="G1"/>
      <c r="H1"/>
      <c r="I1" s="26" t="s">
        <v>152</v>
      </c>
      <c r="J1" s="27" t="s">
        <v>153</v>
      </c>
    </row>
    <row r="2" spans="1:10" x14ac:dyDescent="0.25">
      <c r="A2" s="3" t="s">
        <v>154</v>
      </c>
    </row>
    <row r="3" spans="1:10" ht="15.4" customHeight="1" x14ac:dyDescent="0.25">
      <c r="A3" s="3" t="s">
        <v>155</v>
      </c>
      <c r="B3"/>
      <c r="C3"/>
      <c r="D3"/>
      <c r="E3"/>
      <c r="F3"/>
      <c r="G3"/>
      <c r="H3"/>
      <c r="I3" s="26" t="s">
        <v>156</v>
      </c>
      <c r="J3"/>
    </row>
    <row r="5" spans="1:10" x14ac:dyDescent="0.25">
      <c r="A5" s="4" t="s">
        <v>157</v>
      </c>
      <c r="I5" s="28" t="s">
        <v>158</v>
      </c>
    </row>
    <row r="6" spans="1:10" x14ac:dyDescent="0.25">
      <c r="A6" s="3" t="s">
        <v>159</v>
      </c>
    </row>
    <row r="7" spans="1:10" x14ac:dyDescent="0.25">
      <c r="A7" s="3" t="s">
        <v>160</v>
      </c>
    </row>
    <row r="8" spans="1:10" x14ac:dyDescent="0.25">
      <c r="A8" s="3" t="s">
        <v>161</v>
      </c>
    </row>
    <row r="9" spans="1:10" x14ac:dyDescent="0.25">
      <c r="A9" s="3" t="s">
        <v>162</v>
      </c>
    </row>
    <row r="10" spans="1:10" x14ac:dyDescent="0.25">
      <c r="A10" s="3" t="s">
        <v>163</v>
      </c>
    </row>
    <row r="12" spans="1:10" x14ac:dyDescent="0.25">
      <c r="A12" s="4" t="s">
        <v>164</v>
      </c>
    </row>
    <row r="13" spans="1:10" x14ac:dyDescent="0.25">
      <c r="A13" s="3" t="s">
        <v>165</v>
      </c>
    </row>
    <row r="14" spans="1:10" x14ac:dyDescent="0.25">
      <c r="A14" s="3" t="s">
        <v>166</v>
      </c>
    </row>
    <row r="15" spans="1:10" x14ac:dyDescent="0.25">
      <c r="A15" s="3" t="s">
        <v>167</v>
      </c>
    </row>
    <row r="16" spans="1:10" x14ac:dyDescent="0.25">
      <c r="A16" s="3" t="s">
        <v>168</v>
      </c>
    </row>
  </sheetData>
  <sheetProtection algorithmName="SHA-512" hashValue="vgRCbtpXbN/dKZYT5e5l6U4Fcszvkomj3R6WwCp7Fxgh6QrTtd980hKEoGK2ftjr9FMpbCdkUGLO29W9kVrcTw==" saltValue="33F7XJL5RcDjK2Yr31d33Q==" spinCount="100000" sheet="1" objects="1" scenarios="1"/>
  <printOptions headings="1" gridLines="1"/>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29"/>
  <sheetViews>
    <sheetView showGridLines="0" zoomScale="80" zoomScaleNormal="80" workbookViewId="0">
      <pane ySplit="24" topLeftCell="A65" activePane="bottomLeft" state="frozenSplit"/>
      <selection pane="bottomLeft" activeCell="C14" sqref="C14"/>
    </sheetView>
  </sheetViews>
  <sheetFormatPr defaultColWidth="9.85546875" defaultRowHeight="12.75" x14ac:dyDescent="0.2"/>
  <cols>
    <col min="1" max="1" width="37.28515625" style="29" customWidth="1"/>
    <col min="2" max="2" width="74.5703125" style="29" customWidth="1"/>
    <col min="3" max="4" width="33.5703125" style="29" customWidth="1"/>
    <col min="5" max="5" width="38.85546875" style="29" customWidth="1"/>
    <col min="6" max="6" width="35" style="29" customWidth="1"/>
    <col min="7" max="7" width="10.5703125" style="29" customWidth="1"/>
    <col min="8" max="8" width="9.85546875" style="29" customWidth="1"/>
    <col min="9" max="9" width="31.28515625" style="67" customWidth="1"/>
    <col min="10" max="10" width="6.85546875" style="68" customWidth="1"/>
    <col min="11" max="11" width="6.42578125" style="68" customWidth="1"/>
    <col min="12" max="12" width="5.7109375" style="68" customWidth="1"/>
    <col min="13" max="13" width="7.7109375" style="68" customWidth="1"/>
    <col min="14" max="15" width="27" style="36" hidden="1" customWidth="1"/>
    <col min="16" max="16" width="9.85546875" style="29" customWidth="1"/>
    <col min="17" max="16384" width="9.85546875" style="29"/>
  </cols>
  <sheetData>
    <row r="1" spans="1:15" customFormat="1" ht="16.350000000000001" customHeight="1" x14ac:dyDescent="0.25">
      <c r="A1" s="30" t="s">
        <v>169</v>
      </c>
      <c r="B1" s="30" t="str">
        <f>'Hide_me(drop_downs)'!I1</f>
        <v>Year ended 31 July 2019</v>
      </c>
      <c r="C1" s="31" t="s">
        <v>170</v>
      </c>
      <c r="D1" s="32">
        <v>1.2</v>
      </c>
      <c r="E1" s="33"/>
      <c r="F1" s="33"/>
      <c r="G1" s="33"/>
      <c r="H1" s="33"/>
      <c r="I1" s="34"/>
      <c r="J1" s="35"/>
      <c r="N1" s="36"/>
      <c r="O1" s="36"/>
    </row>
    <row r="2" spans="1:15" x14ac:dyDescent="0.2">
      <c r="A2" s="37" t="s">
        <v>171</v>
      </c>
      <c r="B2" s="38" t="s">
        <v>172</v>
      </c>
      <c r="C2" s="39" t="s">
        <v>173</v>
      </c>
      <c r="D2" s="40">
        <f>SUM(N26:N229)</f>
        <v>0</v>
      </c>
      <c r="E2" s="41"/>
      <c r="F2" s="41"/>
      <c r="G2" s="41"/>
      <c r="H2" s="41"/>
      <c r="I2" s="42"/>
      <c r="J2" s="43"/>
    </row>
    <row r="3" spans="1:15" x14ac:dyDescent="0.2">
      <c r="A3" s="44" t="s">
        <v>174</v>
      </c>
      <c r="B3" s="45" t="s">
        <v>175</v>
      </c>
      <c r="C3" s="39" t="s">
        <v>176</v>
      </c>
      <c r="D3" s="39">
        <f>SUM(O26:O229)</f>
        <v>8</v>
      </c>
      <c r="E3" s="41"/>
      <c r="F3" s="41"/>
      <c r="G3" s="41"/>
      <c r="H3" s="41"/>
      <c r="I3" s="42"/>
      <c r="J3" s="43"/>
    </row>
    <row r="4" spans="1:15" x14ac:dyDescent="0.2">
      <c r="A4" s="44" t="s">
        <v>177</v>
      </c>
      <c r="B4" s="46" t="s">
        <v>166</v>
      </c>
      <c r="C4" s="47"/>
      <c r="D4" s="47"/>
      <c r="E4" s="41"/>
      <c r="F4" s="41"/>
      <c r="G4" s="41"/>
      <c r="H4" s="41"/>
      <c r="I4" s="42"/>
      <c r="J4" s="43"/>
    </row>
    <row r="5" spans="1:15" x14ac:dyDescent="0.2">
      <c r="A5" s="48" t="s">
        <v>178</v>
      </c>
      <c r="B5" s="49">
        <v>18031</v>
      </c>
      <c r="C5" s="50"/>
      <c r="D5" s="51"/>
      <c r="E5" s="52"/>
      <c r="F5" s="52"/>
      <c r="G5" s="52"/>
      <c r="H5" s="52"/>
      <c r="I5" s="53"/>
      <c r="J5" s="54"/>
    </row>
    <row r="6" spans="1:15" x14ac:dyDescent="0.2">
      <c r="A6" s="614"/>
      <c r="B6" s="614"/>
      <c r="C6" s="55"/>
      <c r="D6" s="51"/>
      <c r="E6" s="52"/>
      <c r="F6" s="52"/>
      <c r="G6" s="52"/>
      <c r="H6" s="52"/>
      <c r="I6" s="53"/>
      <c r="J6" s="54"/>
    </row>
    <row r="8" spans="1:15" customFormat="1" ht="15.4" customHeight="1" x14ac:dyDescent="0.25">
      <c r="A8" s="56"/>
      <c r="B8" s="57"/>
      <c r="C8" s="55"/>
      <c r="D8" s="58"/>
      <c r="E8" s="59"/>
      <c r="F8" s="59"/>
      <c r="G8" s="58"/>
      <c r="N8" s="60"/>
      <c r="O8" s="60"/>
    </row>
    <row r="9" spans="1:15" customFormat="1" ht="15.4" customHeight="1" x14ac:dyDescent="0.25">
      <c r="A9" s="52" t="s">
        <v>179</v>
      </c>
      <c r="B9" s="61"/>
      <c r="C9" s="61"/>
      <c r="D9" s="58"/>
      <c r="E9" s="59"/>
      <c r="F9" s="59"/>
      <c r="G9" s="58"/>
      <c r="N9" s="60"/>
      <c r="O9" s="60"/>
    </row>
    <row r="10" spans="1:15" customFormat="1" ht="15.4" customHeight="1" x14ac:dyDescent="0.25">
      <c r="A10" s="52" t="s">
        <v>180</v>
      </c>
      <c r="B10" s="61"/>
      <c r="C10" s="61"/>
      <c r="D10" s="58"/>
      <c r="E10" s="59"/>
      <c r="F10" s="59"/>
      <c r="G10" s="58"/>
      <c r="N10" s="60"/>
      <c r="O10" s="60"/>
    </row>
    <row r="11" spans="1:15" customFormat="1" ht="15.4" customHeight="1" x14ac:dyDescent="0.25">
      <c r="A11" s="52"/>
      <c r="B11" s="61"/>
      <c r="C11" s="61"/>
      <c r="D11" s="58"/>
      <c r="E11" s="59"/>
      <c r="F11" s="59"/>
      <c r="G11" s="58"/>
      <c r="N11" s="60"/>
      <c r="O11" s="60"/>
    </row>
    <row r="12" spans="1:15" customFormat="1" ht="15.4" customHeight="1" x14ac:dyDescent="0.25">
      <c r="A12" s="29" t="s">
        <v>181</v>
      </c>
      <c r="B12" s="61"/>
      <c r="C12" s="61"/>
      <c r="D12" s="58"/>
      <c r="E12" s="59"/>
      <c r="F12" s="59"/>
      <c r="G12" s="58"/>
      <c r="N12" s="60"/>
      <c r="O12" s="60"/>
    </row>
    <row r="13" spans="1:15" x14ac:dyDescent="0.2">
      <c r="A13" s="29" t="s">
        <v>182</v>
      </c>
      <c r="B13" s="62"/>
      <c r="C13" s="56"/>
      <c r="D13" s="56"/>
      <c r="E13" s="56"/>
      <c r="F13" s="56"/>
      <c r="G13" s="56"/>
    </row>
    <row r="14" spans="1:15" customFormat="1" ht="14.1" customHeight="1" x14ac:dyDescent="0.25">
      <c r="A14" s="29" t="s">
        <v>183</v>
      </c>
      <c r="B14" s="63"/>
      <c r="D14" s="64"/>
      <c r="E14" s="65"/>
      <c r="F14" s="64"/>
      <c r="G14" s="66"/>
      <c r="I14" s="67"/>
      <c r="J14" s="68"/>
      <c r="K14" s="68"/>
      <c r="L14" s="68"/>
      <c r="M14" s="68"/>
      <c r="N14" s="69"/>
      <c r="O14" s="69"/>
    </row>
    <row r="15" spans="1:15" x14ac:dyDescent="0.2">
      <c r="A15" s="29" t="s">
        <v>184</v>
      </c>
      <c r="B15" s="63"/>
      <c r="D15" s="65"/>
      <c r="E15" s="65"/>
      <c r="F15" s="65"/>
      <c r="G15" s="70"/>
      <c r="H15" s="52"/>
      <c r="I15" s="53"/>
      <c r="J15" s="54"/>
      <c r="K15" s="54"/>
    </row>
    <row r="16" spans="1:15" x14ac:dyDescent="0.2">
      <c r="B16" s="63"/>
      <c r="D16" s="64"/>
      <c r="E16" s="64"/>
      <c r="F16" s="64"/>
      <c r="G16" s="66"/>
    </row>
    <row r="17" spans="1:15" x14ac:dyDescent="0.2">
      <c r="A17" s="29" t="s">
        <v>185</v>
      </c>
      <c r="B17" s="63"/>
      <c r="D17" s="64"/>
      <c r="E17" s="64"/>
      <c r="F17" s="64"/>
      <c r="G17" s="66"/>
    </row>
    <row r="18" spans="1:15" customFormat="1" ht="15" customHeight="1" x14ac:dyDescent="0.25">
      <c r="A18" s="71" t="s">
        <v>186</v>
      </c>
      <c r="B18" s="63"/>
      <c r="D18" s="64"/>
      <c r="E18" s="64"/>
      <c r="F18" s="64"/>
      <c r="G18" s="66"/>
      <c r="I18" s="67"/>
      <c r="J18" s="68"/>
      <c r="K18" s="68"/>
      <c r="L18" s="68"/>
      <c r="M18" s="68"/>
      <c r="N18" s="36"/>
      <c r="O18" s="36"/>
    </row>
    <row r="19" spans="1:15" x14ac:dyDescent="0.2">
      <c r="A19" s="72"/>
      <c r="B19" s="63"/>
      <c r="D19" s="64"/>
      <c r="E19" s="64"/>
      <c r="F19" s="64"/>
      <c r="G19" s="66"/>
    </row>
    <row r="20" spans="1:15" x14ac:dyDescent="0.2">
      <c r="A20" s="73"/>
      <c r="B20" s="62"/>
      <c r="C20" s="74"/>
      <c r="D20" s="74"/>
      <c r="E20" s="75"/>
      <c r="F20" s="75"/>
      <c r="G20" s="75"/>
    </row>
    <row r="21" spans="1:15" x14ac:dyDescent="0.2">
      <c r="A21" s="76" t="s">
        <v>187</v>
      </c>
      <c r="B21" s="76"/>
      <c r="C21" s="77"/>
      <c r="D21" s="78"/>
      <c r="E21" s="78"/>
      <c r="F21" s="78"/>
      <c r="G21" s="78"/>
      <c r="H21" s="78"/>
      <c r="I21" s="79"/>
      <c r="J21" s="80"/>
      <c r="K21" s="54"/>
    </row>
    <row r="22" spans="1:15" x14ac:dyDescent="0.2">
      <c r="A22" s="81"/>
      <c r="B22" s="82"/>
      <c r="C22" s="83"/>
      <c r="D22" s="83"/>
      <c r="E22" s="83"/>
      <c r="F22" s="83"/>
      <c r="G22" s="83"/>
      <c r="H22" s="83"/>
      <c r="I22" s="84"/>
      <c r="J22" s="80"/>
      <c r="K22" s="54"/>
    </row>
    <row r="23" spans="1:15" x14ac:dyDescent="0.2">
      <c r="A23" s="85"/>
      <c r="B23" s="86"/>
      <c r="C23" s="87"/>
      <c r="D23" s="88"/>
      <c r="E23" s="88"/>
      <c r="F23" s="87"/>
      <c r="G23" s="87"/>
      <c r="H23" s="87"/>
      <c r="I23" s="89"/>
      <c r="J23" s="80"/>
      <c r="K23" s="90"/>
    </row>
    <row r="24" spans="1:15" customFormat="1" ht="12.95" customHeight="1" x14ac:dyDescent="0.25">
      <c r="A24" s="91" t="s">
        <v>188</v>
      </c>
      <c r="B24" s="56" t="s">
        <v>189</v>
      </c>
      <c r="C24" s="56"/>
      <c r="D24" s="92"/>
      <c r="E24" s="55" t="s">
        <v>190</v>
      </c>
      <c r="F24" s="55"/>
      <c r="G24" s="55" t="s">
        <v>191</v>
      </c>
      <c r="H24" s="93" t="s">
        <v>192</v>
      </c>
      <c r="I24" s="94"/>
      <c r="J24" s="95"/>
      <c r="K24" s="96"/>
      <c r="N24" s="97" t="s">
        <v>193</v>
      </c>
      <c r="O24" s="97" t="s">
        <v>193</v>
      </c>
    </row>
    <row r="25" spans="1:15" x14ac:dyDescent="0.2">
      <c r="B25" s="98"/>
      <c r="C25" s="98"/>
      <c r="D25" s="98"/>
      <c r="E25" s="98"/>
      <c r="F25" s="98"/>
      <c r="G25" s="98"/>
      <c r="H25" s="98"/>
      <c r="K25" s="99"/>
    </row>
    <row r="26" spans="1:15" customFormat="1" ht="14.65" customHeight="1" x14ac:dyDescent="0.25">
      <c r="A26" s="100" t="s">
        <v>194</v>
      </c>
      <c r="B26" s="611" t="s">
        <v>195</v>
      </c>
      <c r="C26" s="611"/>
      <c r="D26" s="611"/>
      <c r="E26" s="611" t="s">
        <v>196</v>
      </c>
      <c r="F26" s="611"/>
      <c r="G26" s="100" t="s">
        <v>197</v>
      </c>
      <c r="H26" s="101" t="str">
        <f>IF(Table_1_UK!H6&lt;&gt;0,"PASS","FAIL")</f>
        <v>PASS</v>
      </c>
      <c r="I26" s="67">
        <f>Table_1_UK!H6</f>
        <v>346850</v>
      </c>
      <c r="J26" s="68"/>
      <c r="N26" s="36">
        <f t="shared" ref="N26:N89" si="0">IF(AND(G26="Error",H26="FAIL"),1,0)</f>
        <v>0</v>
      </c>
      <c r="O26" s="36">
        <f t="shared" ref="O26:O57" si="1">IF(AND(G26="Warning",H26="FAIL"),1,0)</f>
        <v>0</v>
      </c>
    </row>
    <row r="27" spans="1:15" customFormat="1" ht="14.65" customHeight="1" x14ac:dyDescent="0.25">
      <c r="A27" s="102" t="s">
        <v>198</v>
      </c>
      <c r="B27" s="612" t="s">
        <v>199</v>
      </c>
      <c r="C27" s="611"/>
      <c r="D27" s="611"/>
      <c r="E27" s="611" t="s">
        <v>200</v>
      </c>
      <c r="F27" s="611"/>
      <c r="G27" s="102" t="s">
        <v>197</v>
      </c>
      <c r="H27" s="103" t="str">
        <f>IF(Table_1_UK!H7=0,"FAIL","PASS")</f>
        <v>PASS</v>
      </c>
      <c r="I27" s="104">
        <f>Table_1_UK!H7</f>
        <v>195819</v>
      </c>
      <c r="J27" s="68"/>
      <c r="N27" s="36">
        <f t="shared" si="0"/>
        <v>0</v>
      </c>
      <c r="O27" s="36">
        <f t="shared" si="1"/>
        <v>0</v>
      </c>
    </row>
    <row r="28" spans="1:15" customFormat="1" ht="14.65" customHeight="1" x14ac:dyDescent="0.25">
      <c r="A28" s="102" t="s">
        <v>201</v>
      </c>
      <c r="B28" s="612" t="s">
        <v>202</v>
      </c>
      <c r="C28" s="611"/>
      <c r="D28" s="611"/>
      <c r="E28" s="611" t="s">
        <v>203</v>
      </c>
      <c r="F28" s="611"/>
      <c r="G28" s="102" t="s">
        <v>204</v>
      </c>
      <c r="H28" s="103" t="str">
        <f>IF(Table_1_UK!H8&lt;&gt;0,"PASS","FAIL")</f>
        <v>PASS</v>
      </c>
      <c r="I28" s="104">
        <f>Table_1_UK!H8</f>
        <v>285654</v>
      </c>
      <c r="N28" s="36">
        <f t="shared" si="0"/>
        <v>0</v>
      </c>
      <c r="O28" s="36">
        <f t="shared" si="1"/>
        <v>0</v>
      </c>
    </row>
    <row r="29" spans="1:15" customFormat="1" ht="14.65" customHeight="1" x14ac:dyDescent="0.25">
      <c r="A29" s="102" t="s">
        <v>205</v>
      </c>
      <c r="B29" s="612" t="s">
        <v>206</v>
      </c>
      <c r="C29" s="611"/>
      <c r="D29" s="611"/>
      <c r="E29" s="611" t="s">
        <v>207</v>
      </c>
      <c r="F29" s="611"/>
      <c r="G29" s="102" t="s">
        <v>197</v>
      </c>
      <c r="H29" s="103" t="str">
        <f>IF(Table_1_UK!H9&lt;&gt;0,"PASS","FAIL")</f>
        <v>PASS</v>
      </c>
      <c r="I29" s="104">
        <f>Table_1_UK!H9</f>
        <v>234018</v>
      </c>
      <c r="J29" s="68"/>
      <c r="N29" s="36">
        <f t="shared" si="0"/>
        <v>0</v>
      </c>
      <c r="O29" s="36">
        <f t="shared" si="1"/>
        <v>0</v>
      </c>
    </row>
    <row r="30" spans="1:15" customFormat="1" ht="14.65" customHeight="1" x14ac:dyDescent="0.25">
      <c r="A30" s="102" t="s">
        <v>208</v>
      </c>
      <c r="B30" s="612" t="s">
        <v>209</v>
      </c>
      <c r="C30" s="611"/>
      <c r="D30" s="611"/>
      <c r="E30" s="611" t="s">
        <v>210</v>
      </c>
      <c r="F30" s="611"/>
      <c r="G30" s="102" t="s">
        <v>204</v>
      </c>
      <c r="H30" s="103" t="str">
        <f>IF(Table_1_UK!H10&lt;&gt;0,"PASS","FAIL")</f>
        <v>PASS</v>
      </c>
      <c r="I30" s="104">
        <f>Table_1_UK!H10</f>
        <v>17413</v>
      </c>
      <c r="N30" s="36">
        <f t="shared" si="0"/>
        <v>0</v>
      </c>
      <c r="O30" s="36">
        <f t="shared" si="1"/>
        <v>0</v>
      </c>
    </row>
    <row r="31" spans="1:15" customFormat="1" ht="14.65" customHeight="1" x14ac:dyDescent="0.25">
      <c r="A31" s="102" t="s">
        <v>211</v>
      </c>
      <c r="B31" s="612" t="s">
        <v>212</v>
      </c>
      <c r="C31" s="611"/>
      <c r="D31" s="611"/>
      <c r="E31" s="611" t="s">
        <v>213</v>
      </c>
      <c r="F31" s="611"/>
      <c r="G31" s="102" t="s">
        <v>204</v>
      </c>
      <c r="H31" s="103" t="str">
        <f>IF(Table_1_UK!H11&lt;&gt;0,"PASS","FAIL")</f>
        <v>PASS</v>
      </c>
      <c r="I31" s="104">
        <f>Table_1_UK!H11</f>
        <v>21750</v>
      </c>
      <c r="K31" s="99"/>
      <c r="N31" s="36">
        <f t="shared" si="0"/>
        <v>0</v>
      </c>
      <c r="O31" s="36">
        <f t="shared" si="1"/>
        <v>0</v>
      </c>
    </row>
    <row r="32" spans="1:15" customFormat="1" ht="14.65" customHeight="1" x14ac:dyDescent="0.25">
      <c r="A32" s="102" t="s">
        <v>214</v>
      </c>
      <c r="B32" s="612" t="s">
        <v>215</v>
      </c>
      <c r="C32" s="611"/>
      <c r="D32" s="611"/>
      <c r="E32" s="611" t="s">
        <v>216</v>
      </c>
      <c r="F32" s="611"/>
      <c r="G32" s="102" t="s">
        <v>197</v>
      </c>
      <c r="H32" s="103" t="str">
        <f>IF(Table_1_UK!H12&lt;&gt;0,"PASS","FAIL")</f>
        <v>PASS</v>
      </c>
      <c r="I32" s="104">
        <f>Table_1_UK!H12</f>
        <v>1101504</v>
      </c>
      <c r="N32" s="36">
        <f t="shared" si="0"/>
        <v>0</v>
      </c>
      <c r="O32" s="36">
        <f t="shared" si="1"/>
        <v>0</v>
      </c>
    </row>
    <row r="33" spans="1:15" customFormat="1" ht="14.65" customHeight="1" x14ac:dyDescent="0.25">
      <c r="A33" s="102" t="s">
        <v>217</v>
      </c>
      <c r="B33" s="612" t="s">
        <v>218</v>
      </c>
      <c r="C33" s="611"/>
      <c r="D33" s="611"/>
      <c r="E33" s="611" t="s">
        <v>219</v>
      </c>
      <c r="F33" s="611"/>
      <c r="G33" s="102" t="s">
        <v>197</v>
      </c>
      <c r="H33" s="103" t="str">
        <f>IF(Table_1_UK!I12&lt;&gt;0,"PASS","FAIL")</f>
        <v>PASS</v>
      </c>
      <c r="I33" s="104">
        <f>Table_1_UK!I12</f>
        <v>984312</v>
      </c>
      <c r="N33" s="36">
        <f t="shared" si="0"/>
        <v>0</v>
      </c>
      <c r="O33" s="36">
        <f t="shared" si="1"/>
        <v>0</v>
      </c>
    </row>
    <row r="34" spans="1:15" customFormat="1" ht="14.65" customHeight="1" x14ac:dyDescent="0.25">
      <c r="A34" s="102" t="s">
        <v>220</v>
      </c>
      <c r="B34" s="612" t="s">
        <v>221</v>
      </c>
      <c r="C34" s="611"/>
      <c r="D34" s="611"/>
      <c r="E34" s="611" t="s">
        <v>222</v>
      </c>
      <c r="F34" s="611"/>
      <c r="G34" s="102" t="s">
        <v>197</v>
      </c>
      <c r="H34" s="103" t="str">
        <f>IF(Table_1_UK!H20&lt;&gt;0,"PASS","FAIL")</f>
        <v>PASS</v>
      </c>
      <c r="I34" s="104">
        <f>Table_1_UK!H20</f>
        <v>1235935</v>
      </c>
      <c r="N34" s="36">
        <f t="shared" si="0"/>
        <v>0</v>
      </c>
      <c r="O34" s="36">
        <f t="shared" si="1"/>
        <v>0</v>
      </c>
    </row>
    <row r="35" spans="1:15" customFormat="1" ht="14.65" customHeight="1" x14ac:dyDescent="0.25">
      <c r="A35" s="102" t="s">
        <v>223</v>
      </c>
      <c r="B35" s="612" t="s">
        <v>224</v>
      </c>
      <c r="C35" s="611"/>
      <c r="D35" s="611"/>
      <c r="E35" s="611" t="s">
        <v>225</v>
      </c>
      <c r="F35" s="611"/>
      <c r="G35" s="102" t="s">
        <v>197</v>
      </c>
      <c r="H35" s="103" t="str">
        <f>IF(Table_1_UK!I20&lt;&gt;0,"PASS","FAIL")</f>
        <v>PASS</v>
      </c>
      <c r="I35" s="104">
        <f>Table_1_UK!I20</f>
        <v>957002</v>
      </c>
      <c r="N35" s="36">
        <f t="shared" si="0"/>
        <v>0</v>
      </c>
      <c r="O35" s="36">
        <f t="shared" si="1"/>
        <v>0</v>
      </c>
    </row>
    <row r="36" spans="1:15" customFormat="1" ht="18.399999999999999" customHeight="1" x14ac:dyDescent="0.25">
      <c r="A36" s="102" t="s">
        <v>226</v>
      </c>
      <c r="B36" s="612" t="s">
        <v>227</v>
      </c>
      <c r="C36" s="611"/>
      <c r="D36" s="611"/>
      <c r="E36" s="611" t="s">
        <v>228</v>
      </c>
      <c r="F36" s="611"/>
      <c r="G36" s="103" t="s">
        <v>197</v>
      </c>
      <c r="H36" s="103" t="str">
        <f>IF(Table_1_UK!H40=Table_1_UK!H49,"PASS","FAIL")</f>
        <v>PASS</v>
      </c>
      <c r="I36" s="104" t="str">
        <f>(Table_1_UK!H40&amp;", "&amp;Table_1_UK!H49)</f>
        <v>-162223, -162223</v>
      </c>
      <c r="K36" s="105"/>
      <c r="N36" s="36">
        <f t="shared" si="0"/>
        <v>0</v>
      </c>
      <c r="O36" s="36">
        <f t="shared" si="1"/>
        <v>0</v>
      </c>
    </row>
    <row r="37" spans="1:15" customFormat="1" ht="15.75" customHeight="1" x14ac:dyDescent="0.25">
      <c r="A37" s="106" t="s">
        <v>229</v>
      </c>
      <c r="B37" s="612" t="s">
        <v>230</v>
      </c>
      <c r="C37" s="611"/>
      <c r="D37" s="611"/>
      <c r="E37" s="611" t="s">
        <v>231</v>
      </c>
      <c r="F37" s="611"/>
      <c r="G37" s="103" t="s">
        <v>197</v>
      </c>
      <c r="H37" s="107" t="str">
        <f>IF(AND(SUM(Table_1_UK!H38)&lt;&gt;0,ISBLANK(Table_1_UK!M38)),"FAIL","PASS")</f>
        <v>PASS</v>
      </c>
      <c r="I37" s="104" t="str">
        <f>Table_1_UK!H38&amp;", "&amp;Table_1_UK!M38</f>
        <v xml:space="preserve">0, </v>
      </c>
      <c r="K37" s="105"/>
      <c r="N37" s="36">
        <f t="shared" si="0"/>
        <v>0</v>
      </c>
      <c r="O37" s="36">
        <f t="shared" si="1"/>
        <v>0</v>
      </c>
    </row>
    <row r="38" spans="1:15" customFormat="1" ht="15.75" customHeight="1" x14ac:dyDescent="0.25">
      <c r="A38" s="106" t="s">
        <v>232</v>
      </c>
      <c r="B38" s="612" t="s">
        <v>233</v>
      </c>
      <c r="C38" s="611"/>
      <c r="D38" s="611"/>
      <c r="E38" s="611" t="s">
        <v>231</v>
      </c>
      <c r="F38" s="611"/>
      <c r="G38" s="103" t="s">
        <v>197</v>
      </c>
      <c r="H38" s="107" t="str">
        <f>IF(AND(SUM(Table_1_UK!H38)=0,NOT(ISBLANK(Table_1_UK!M38))),"FAIL","PASS")</f>
        <v>PASS</v>
      </c>
      <c r="I38" s="108">
        <f>Table_1_UK!H38</f>
        <v>0</v>
      </c>
      <c r="K38" s="105"/>
      <c r="N38" s="36">
        <f t="shared" si="0"/>
        <v>0</v>
      </c>
      <c r="O38" s="36">
        <f t="shared" si="1"/>
        <v>0</v>
      </c>
    </row>
    <row r="39" spans="1:15" customFormat="1" ht="15.75" customHeight="1" x14ac:dyDescent="0.25">
      <c r="A39" s="106" t="s">
        <v>234</v>
      </c>
      <c r="B39" s="612" t="s">
        <v>235</v>
      </c>
      <c r="C39" s="611"/>
      <c r="D39" s="611"/>
      <c r="E39" s="611" t="s">
        <v>236</v>
      </c>
      <c r="F39" s="611"/>
      <c r="G39" s="103" t="s">
        <v>204</v>
      </c>
      <c r="H39" s="107" t="str">
        <f>IF((ABS(Table_1_UK!H40-(Table_3_UK!H65-Table_3_UK!I65)))&gt;5, "FAIL", "PASS")</f>
        <v>PASS</v>
      </c>
      <c r="I39" s="108" t="str">
        <f>Table_1_UK!H40&amp;", "&amp;Table_3_UK!H65&amp;", "&amp;Table_3_UK!I65</f>
        <v>-162223, 2054658, 2216881</v>
      </c>
      <c r="K39" s="105"/>
      <c r="N39" s="36">
        <f t="shared" si="0"/>
        <v>0</v>
      </c>
      <c r="O39" s="36">
        <f t="shared" si="1"/>
        <v>0</v>
      </c>
    </row>
    <row r="40" spans="1:15" customFormat="1" ht="45.4" customHeight="1" x14ac:dyDescent="0.25">
      <c r="A40" s="109" t="s">
        <v>237</v>
      </c>
      <c r="B40" s="610" t="s">
        <v>238</v>
      </c>
      <c r="C40" s="609"/>
      <c r="D40" s="609"/>
      <c r="E40" s="609" t="s">
        <v>239</v>
      </c>
      <c r="F40" s="609"/>
      <c r="G40" s="103" t="s">
        <v>204</v>
      </c>
      <c r="H40" s="107" t="str">
        <f>IF(OR(AND(Table_1_UK!K7&gt;750,Table_1_UK!L7&gt;2),AND(Table_1_UK!K7&lt;-750,Table_1_UK!L7&gt;2),AND(Table_1_UK!K9&gt;750,Table_1_UK!L9&gt;2),AND(Table_1_UK!K9&lt;-750,Table_1_UK!L9&gt;2),AND(Table_1_UK!K10&gt;750,Table_1_UK!L10&gt;2),AND(Table_1_UK!K10&lt;-750,Table_1_UK!L10&gt;2),AND(Table_1_UK!K11&gt;750,Table_1_UK!L11&gt;2),AND(Table_1_UK!K11&lt;-750,Table_1_UK!L11&gt;2),AND(Table_1_UK!K16&gt;750,Table_1_UK!L16&gt;2),AND(Table_1_UK!K16&lt;-750,Table_1_UK!L16&gt;2),AND(Table_1_UK!K18&gt;750,Table_1_UK!L18&gt;2),AND(Table_1_UK!K18&lt;-750,Table_1_UK!L18&gt;2),AND(Table_1_UK!K19&gt;750,Table_1_UK!L19&gt;2),AND(Table_1_UK!K19&lt;-750,Table_1_UK!L19&gt;2),AND(Table_1_UK!K24&gt;750,Table_1_UK!L24&gt;2),AND(Table_1_UK!K24&lt;-750,Table_1_UK!L24&gt;2),AND(Table_1_UK!K25&gt;750,Table_1_UK!L25&gt;2),AND(Table_1_UK!K25&lt;-750,Table_1_UK!L25&gt;2),AND(Table_1_UK!K26&gt;750,Table_1_UK!L26&gt;2),AND(Table_1_UK!K26&lt;-750,Table_1_UK!L26&gt;2),AND(Table_1_UK!K27&gt;750,Table_1_UK!L27&gt;2),AND(Table_1_UK!K27&lt;-750,Table_1_UK!L27&gt;2),AND(Table_1_UK!K31&gt;750,Table_1_UK!L31&gt;2),AND(Table_1_UK!K31&lt;-750,Table_1_UK!L31&gt;2)),"FAIL","PASS")</f>
        <v>FAIL</v>
      </c>
      <c r="I40" s="108" t="str">
        <f>Table_1_UK!H7&amp;", "&amp;Table_1_UK!H9&amp;", "&amp;Table_1_UK!H10&amp;", "&amp;Table_1_UK!H11&amp;", "&amp;Table_1_UK!H16&amp;", "&amp;Table_1_UK!H18&amp;", "&amp;Table_1_UK!H19&amp;", "&amp;Table_1_UK!H24&amp;", "&amp;Table_1_UK!H25&amp;", "&amp;Table_1_UK!H26&amp;", "&amp;Table_1_UK!H27&amp;", "&amp;Table_1_UK!H31</f>
        <v>195819, 234018, 17413, 21750, 0, 63758, 33014, 4560, 36784, 0, 0, 50</v>
      </c>
      <c r="K40" s="105"/>
      <c r="N40" s="36">
        <f t="shared" si="0"/>
        <v>0</v>
      </c>
      <c r="O40" s="36">
        <f t="shared" si="1"/>
        <v>1</v>
      </c>
    </row>
    <row r="41" spans="1:15" customFormat="1" ht="52.35" customHeight="1" x14ac:dyDescent="0.25">
      <c r="A41" s="109" t="s">
        <v>240</v>
      </c>
      <c r="B41" s="610" t="s">
        <v>241</v>
      </c>
      <c r="C41" s="609"/>
      <c r="D41" s="609"/>
      <c r="E41" s="609" t="s">
        <v>242</v>
      </c>
      <c r="F41" s="609"/>
      <c r="G41" s="103" t="s">
        <v>204</v>
      </c>
      <c r="H41" s="107" t="str">
        <f>IF(OR(AND(Table_1_UK!I7&lt;&gt;Table_1_UK!J7),AND(Table_1_UK!I9&lt;&gt;Table_1_UK!J9),AND(Table_1_UK!I10&lt;&gt;Table_1_UK!J10),AND(Table_1_UK!I11&lt;&gt;Table_1_UK!J11),AND(Table_1_UK!I16&lt;&gt;Table_1_UK!J16),AND(Table_1_UK!I18&lt;&gt;Table_1_UK!J18),AND(Table_1_UK!I19&lt;&gt;Table_1_UK!J19),AND(Table_1_UK!I24&lt;&gt;Table_1_UK!J24),AND(Table_1_UK!I25&lt;&gt;Table_1_UK!J25),AND(Table_1_UK!I26&lt;&gt;Table_1_UK!J26),AND(Table_1_UK!I27&lt;&gt;Table_1_UK!J27),AND(Table_1_UK!I31&lt;&gt;Table_1_UK!J31),AND(Table_1_UK!I35&lt;&gt;Table_1_UK!J35),AND(Table_1_UK!I36&lt;&gt;Table_1_UK!J36),AND(Table_1_UK!I37&lt;&gt;Table_1_UK!J37),AND(Table_1_UK!I38&lt;&gt;Table_1_UK!J38),AND(Table_1_UK!I43&lt;&gt;Table_1_UK!J43),AND(Table_1_UK!I44&lt;&gt;Table_1_UK!J44),AND(Table_1_UK!I45&lt;&gt;Table_1_UK!J45),AND(Table_1_UK!I46&lt;&gt;Table_1_UK!J46),AND(Table_1_UK!I48&lt;&gt;Table_1_UK!J48),AND(Table_1_UK!I52&lt;&gt;Table_1_UK!J52)),"FAIL","PASS")</f>
        <v>FAIL</v>
      </c>
      <c r="I41" s="108" t="str">
        <f>Table_1_UK!I7&amp;", "&amp;Table_1_UK!I9&amp;", "&amp;Table_1_UK!I10&amp;", "&amp;Table_1_UK!I11&amp;", "&amp;Table_1_UK!I16&amp;", "&amp;Table_1_UK!I18&amp;", "&amp;Table_1_UK!I19&amp;", "&amp;Table_1_UK!I24&amp;", "&amp;Table_1_UK!I25&amp;", "&amp;Table_1_UK!I26&amp;", "&amp;Table_1_UK!I27&amp;", "&amp;Table_1_UK!I31&amp;", "&amp;Table_1_UK!I35&amp;", "&amp;Table_1_UK!I36&amp;", "&amp;Table_1_UK!I37&amp;", "&amp;Table_1_UK!I38&amp;", "&amp;Table_1_UK!I43&amp;", "&amp;Table_1_UK!I44&amp;", "&amp;Table_1_UK!I45&amp;", "&amp;Table_1_UK!I46&amp;", "&amp;Table_1_UK!I48&amp;", "&amp;Table_1_UK!I52</f>
        <v>186652, 168384, 14468, 23089, 0, 60197, 16840, 187, 42357, 0, 0, 15, 0, 100983, 0, 0, 31983, 8710, 130159, 0, 0, 0</v>
      </c>
      <c r="K41" s="105"/>
      <c r="N41" s="36">
        <f t="shared" si="0"/>
        <v>0</v>
      </c>
      <c r="O41" s="36">
        <f t="shared" si="1"/>
        <v>1</v>
      </c>
    </row>
    <row r="42" spans="1:15" customFormat="1" ht="15.75" customHeight="1" x14ac:dyDescent="0.25">
      <c r="A42" s="110" t="s">
        <v>243</v>
      </c>
      <c r="B42" s="610" t="s">
        <v>244</v>
      </c>
      <c r="C42" s="609"/>
      <c r="D42" s="609"/>
      <c r="E42" s="609" t="s">
        <v>245</v>
      </c>
      <c r="F42" s="609"/>
      <c r="G42" s="102" t="s">
        <v>197</v>
      </c>
      <c r="H42" s="103" t="str">
        <f>IF(Table_3_UK!H65&lt;&gt;0,"PASS","FAIL")</f>
        <v>PASS</v>
      </c>
      <c r="I42" s="104">
        <f>Table_3_UK!H65</f>
        <v>2054658</v>
      </c>
      <c r="N42" s="36">
        <f t="shared" si="0"/>
        <v>0</v>
      </c>
      <c r="O42" s="36">
        <f t="shared" si="1"/>
        <v>0</v>
      </c>
    </row>
    <row r="43" spans="1:15" customFormat="1" ht="15.75" customHeight="1" x14ac:dyDescent="0.25">
      <c r="A43" s="110" t="s">
        <v>246</v>
      </c>
      <c r="B43" s="610" t="s">
        <v>247</v>
      </c>
      <c r="C43" s="609"/>
      <c r="D43" s="609"/>
      <c r="E43" s="609" t="s">
        <v>248</v>
      </c>
      <c r="F43" s="609"/>
      <c r="G43" s="102" t="s">
        <v>197</v>
      </c>
      <c r="H43" s="103" t="str">
        <f>IF(Table_3_UK!I65&lt;&gt;0,"PASS","FAIL")</f>
        <v>PASS</v>
      </c>
      <c r="I43" s="104">
        <f>Table_3_UK!I65</f>
        <v>2216881</v>
      </c>
      <c r="N43" s="36">
        <f t="shared" si="0"/>
        <v>0</v>
      </c>
      <c r="O43" s="36">
        <f t="shared" si="1"/>
        <v>0</v>
      </c>
    </row>
    <row r="44" spans="1:15" customFormat="1" ht="15.75" customHeight="1" x14ac:dyDescent="0.25">
      <c r="A44" s="110" t="s">
        <v>249</v>
      </c>
      <c r="B44" s="610" t="s">
        <v>250</v>
      </c>
      <c r="C44" s="609"/>
      <c r="D44" s="609"/>
      <c r="E44" s="609" t="s">
        <v>251</v>
      </c>
      <c r="F44" s="609"/>
      <c r="G44" s="102" t="s">
        <v>197</v>
      </c>
      <c r="H44" s="103" t="str">
        <f>IF(Table_3_UK!H15&lt;&gt;0,"PASS","FAIL")</f>
        <v>PASS</v>
      </c>
      <c r="I44" s="104">
        <f>Table_3_UK!H15</f>
        <v>2850064</v>
      </c>
      <c r="N44" s="36">
        <f t="shared" si="0"/>
        <v>0</v>
      </c>
      <c r="O44" s="36">
        <f t="shared" si="1"/>
        <v>0</v>
      </c>
    </row>
    <row r="45" spans="1:15" customFormat="1" ht="15.75" customHeight="1" x14ac:dyDescent="0.25">
      <c r="A45" s="110" t="s">
        <v>252</v>
      </c>
      <c r="B45" s="610" t="s">
        <v>253</v>
      </c>
      <c r="C45" s="609"/>
      <c r="D45" s="609"/>
      <c r="E45" s="609" t="s">
        <v>254</v>
      </c>
      <c r="F45" s="609"/>
      <c r="G45" s="102" t="s">
        <v>197</v>
      </c>
      <c r="H45" s="103" t="str">
        <f>IF(Table_3_UK!I15&lt;&gt;0,"PASS","FAIL")</f>
        <v>PASS</v>
      </c>
      <c r="I45" s="104">
        <f>Table_3_UK!I15</f>
        <v>2524842</v>
      </c>
      <c r="N45" s="36">
        <f t="shared" si="0"/>
        <v>0</v>
      </c>
      <c r="O45" s="36">
        <f t="shared" si="1"/>
        <v>0</v>
      </c>
    </row>
    <row r="46" spans="1:15" customFormat="1" ht="15.75" customHeight="1" x14ac:dyDescent="0.25">
      <c r="A46" s="110" t="s">
        <v>255</v>
      </c>
      <c r="B46" s="610" t="s">
        <v>256</v>
      </c>
      <c r="C46" s="609"/>
      <c r="D46" s="609"/>
      <c r="E46" s="609" t="s">
        <v>257</v>
      </c>
      <c r="F46" s="609"/>
      <c r="G46" s="102" t="s">
        <v>197</v>
      </c>
      <c r="H46" s="103" t="str">
        <f>IF(Table_3_UK!H24&lt;&gt;0,"PASS","FAIL")</f>
        <v>PASS</v>
      </c>
      <c r="I46" s="104">
        <f>Table_3_UK!H24</f>
        <v>587854</v>
      </c>
      <c r="N46" s="36">
        <f t="shared" si="0"/>
        <v>0</v>
      </c>
      <c r="O46" s="36">
        <f t="shared" si="1"/>
        <v>0</v>
      </c>
    </row>
    <row r="47" spans="1:15" customFormat="1" ht="15.75" customHeight="1" x14ac:dyDescent="0.25">
      <c r="A47" s="110" t="s">
        <v>258</v>
      </c>
      <c r="B47" s="610" t="s">
        <v>259</v>
      </c>
      <c r="C47" s="609"/>
      <c r="D47" s="609"/>
      <c r="E47" s="609" t="s">
        <v>260</v>
      </c>
      <c r="F47" s="609"/>
      <c r="G47" s="102" t="s">
        <v>197</v>
      </c>
      <c r="H47" s="103" t="str">
        <f>IF(Table_3_UK!I24&lt;&gt;0,"PASS","FAIL")</f>
        <v>PASS</v>
      </c>
      <c r="I47" s="104">
        <f>Table_3_UK!I24</f>
        <v>552286</v>
      </c>
      <c r="N47" s="36">
        <f t="shared" si="0"/>
        <v>0</v>
      </c>
      <c r="O47" s="36">
        <f t="shared" si="1"/>
        <v>0</v>
      </c>
    </row>
    <row r="48" spans="1:15" customFormat="1" ht="15.75" customHeight="1" x14ac:dyDescent="0.25">
      <c r="A48" s="110" t="s">
        <v>261</v>
      </c>
      <c r="B48" s="610" t="s">
        <v>262</v>
      </c>
      <c r="C48" s="609"/>
      <c r="D48" s="609"/>
      <c r="E48" s="609" t="s">
        <v>263</v>
      </c>
      <c r="F48" s="609"/>
      <c r="G48" s="102" t="s">
        <v>204</v>
      </c>
      <c r="H48" s="103" t="str">
        <f>IF(Table_3_UK!H33&lt;&gt;0,"PASS","FAIL")</f>
        <v>PASS</v>
      </c>
      <c r="I48" s="104">
        <f>Table_3_UK!H33</f>
        <v>345329</v>
      </c>
      <c r="N48" s="36">
        <f t="shared" si="0"/>
        <v>0</v>
      </c>
      <c r="O48" s="36">
        <f t="shared" si="1"/>
        <v>0</v>
      </c>
    </row>
    <row r="49" spans="1:15" customFormat="1" ht="15.75" customHeight="1" x14ac:dyDescent="0.25">
      <c r="A49" s="110" t="s">
        <v>264</v>
      </c>
      <c r="B49" s="610" t="s">
        <v>265</v>
      </c>
      <c r="C49" s="609"/>
      <c r="D49" s="609"/>
      <c r="E49" s="609" t="s">
        <v>266</v>
      </c>
      <c r="F49" s="609"/>
      <c r="G49" s="102" t="s">
        <v>204</v>
      </c>
      <c r="H49" s="103" t="str">
        <f>IF(Table_3_UK!I33&lt;&gt;0,"PASS","FAIL")</f>
        <v>PASS</v>
      </c>
      <c r="I49" s="104">
        <f>Table_3_UK!I33</f>
        <v>310620</v>
      </c>
      <c r="N49" s="36">
        <f t="shared" si="0"/>
        <v>0</v>
      </c>
      <c r="O49" s="36">
        <f t="shared" si="1"/>
        <v>0</v>
      </c>
    </row>
    <row r="50" spans="1:15" customFormat="1" ht="15.75" customHeight="1" x14ac:dyDescent="0.25">
      <c r="A50" s="110" t="s">
        <v>267</v>
      </c>
      <c r="B50" s="610" t="s">
        <v>268</v>
      </c>
      <c r="C50" s="609"/>
      <c r="D50" s="609"/>
      <c r="E50" s="609" t="s">
        <v>269</v>
      </c>
      <c r="F50" s="609"/>
      <c r="G50" s="102" t="s">
        <v>197</v>
      </c>
      <c r="H50" s="107" t="str">
        <f>IF(Table_3_UK!H53=Table_3_UK!H65,"PASS","FAIL")</f>
        <v>PASS</v>
      </c>
      <c r="I50" s="104" t="str">
        <f>(Table_3_UK!H53&amp;", "&amp;Table_3_UK!H65)</f>
        <v>2054658, 2054658</v>
      </c>
      <c r="N50" s="36">
        <f t="shared" si="0"/>
        <v>0</v>
      </c>
      <c r="O50" s="36">
        <f t="shared" si="1"/>
        <v>0</v>
      </c>
    </row>
    <row r="51" spans="1:15" customFormat="1" ht="15.75" customHeight="1" x14ac:dyDescent="0.25">
      <c r="A51" s="110" t="s">
        <v>270</v>
      </c>
      <c r="B51" s="610" t="s">
        <v>271</v>
      </c>
      <c r="C51" s="609"/>
      <c r="D51" s="609"/>
      <c r="E51" s="609" t="s">
        <v>272</v>
      </c>
      <c r="F51" s="609"/>
      <c r="G51" s="102" t="s">
        <v>197</v>
      </c>
      <c r="H51" s="107" t="str">
        <f>IF(Table_3_UK!I53=Table_3_UK!I65,"PASS","FAIL")</f>
        <v>PASS</v>
      </c>
      <c r="I51" s="104" t="str">
        <f>(Table_3_UK!I53&amp;", "&amp;Table_3_UK!I65)</f>
        <v>2216881, 2216881</v>
      </c>
      <c r="N51" s="36">
        <f t="shared" si="0"/>
        <v>0</v>
      </c>
      <c r="O51" s="36">
        <f t="shared" si="1"/>
        <v>0</v>
      </c>
    </row>
    <row r="52" spans="1:15" customFormat="1" ht="15.75" customHeight="1" x14ac:dyDescent="0.25">
      <c r="A52" s="110" t="s">
        <v>273</v>
      </c>
      <c r="B52" s="610" t="s">
        <v>274</v>
      </c>
      <c r="C52" s="609"/>
      <c r="D52" s="609"/>
      <c r="E52" s="609" t="s">
        <v>275</v>
      </c>
      <c r="F52" s="609"/>
      <c r="G52" s="103" t="s">
        <v>197</v>
      </c>
      <c r="H52" s="103" t="str">
        <f>IF(Table_3_UK!H8&lt;=0,"PASS","FAIL")</f>
        <v>PASS</v>
      </c>
      <c r="I52" s="104">
        <f>Table_3_UK!H8</f>
        <v>0</v>
      </c>
      <c r="K52" s="99"/>
      <c r="N52" s="36">
        <f t="shared" si="0"/>
        <v>0</v>
      </c>
      <c r="O52" s="36">
        <f t="shared" si="1"/>
        <v>0</v>
      </c>
    </row>
    <row r="53" spans="1:15" customFormat="1" ht="15.75" customHeight="1" x14ac:dyDescent="0.25">
      <c r="A53" s="110" t="s">
        <v>276</v>
      </c>
      <c r="B53" s="610" t="s">
        <v>277</v>
      </c>
      <c r="C53" s="609"/>
      <c r="D53" s="609"/>
      <c r="E53" s="609" t="s">
        <v>278</v>
      </c>
      <c r="F53" s="609"/>
      <c r="G53" s="103" t="s">
        <v>197</v>
      </c>
      <c r="H53" s="103" t="str">
        <f>IF(Table_3_UK!I8&lt;=0,"PASS","FAIL")</f>
        <v>PASS</v>
      </c>
      <c r="I53" s="104">
        <f>Table_3_UK!I8</f>
        <v>0</v>
      </c>
      <c r="K53" s="99"/>
      <c r="N53" s="36">
        <f t="shared" si="0"/>
        <v>0</v>
      </c>
      <c r="O53" s="36">
        <f t="shared" si="1"/>
        <v>0</v>
      </c>
    </row>
    <row r="54" spans="1:15" customFormat="1" ht="15.75" customHeight="1" x14ac:dyDescent="0.25">
      <c r="A54" s="110" t="s">
        <v>279</v>
      </c>
      <c r="B54" s="610" t="s">
        <v>280</v>
      </c>
      <c r="C54" s="609"/>
      <c r="D54" s="609"/>
      <c r="E54" s="609" t="s">
        <v>281</v>
      </c>
      <c r="F54" s="609"/>
      <c r="G54" s="102" t="s">
        <v>197</v>
      </c>
      <c r="H54" s="103" t="str">
        <f>IF(Table_3_UK!H10&lt;&gt;0,"PASS","FAIL")</f>
        <v>PASS</v>
      </c>
      <c r="I54" s="108">
        <f>Table_3_UK!H10</f>
        <v>1818506</v>
      </c>
      <c r="N54" s="36">
        <f t="shared" si="0"/>
        <v>0</v>
      </c>
      <c r="O54" s="36">
        <f t="shared" si="1"/>
        <v>0</v>
      </c>
    </row>
    <row r="55" spans="1:15" customFormat="1" ht="15.75" customHeight="1" x14ac:dyDescent="0.25">
      <c r="A55" s="110" t="s">
        <v>282</v>
      </c>
      <c r="B55" s="610" t="s">
        <v>283</v>
      </c>
      <c r="C55" s="609"/>
      <c r="D55" s="609"/>
      <c r="E55" s="609" t="s">
        <v>284</v>
      </c>
      <c r="F55" s="609"/>
      <c r="G55" s="102" t="s">
        <v>197</v>
      </c>
      <c r="H55" s="103" t="str">
        <f>IF(Table_3_UK!I10&lt;&gt;0,"PASS","FAIL")</f>
        <v>PASS</v>
      </c>
      <c r="I55" s="108">
        <f>Table_3_UK!I10</f>
        <v>1741144</v>
      </c>
      <c r="N55" s="36">
        <f t="shared" si="0"/>
        <v>0</v>
      </c>
      <c r="O55" s="36">
        <f t="shared" si="1"/>
        <v>0</v>
      </c>
    </row>
    <row r="56" spans="1:15" customFormat="1" ht="68.650000000000006" customHeight="1" x14ac:dyDescent="0.25">
      <c r="A56" s="109" t="s">
        <v>285</v>
      </c>
      <c r="B56" s="610" t="s">
        <v>286</v>
      </c>
      <c r="C56" s="609"/>
      <c r="D56" s="609"/>
      <c r="E56" s="609" t="s">
        <v>287</v>
      </c>
      <c r="F56" s="609"/>
      <c r="G56" s="103" t="s">
        <v>204</v>
      </c>
      <c r="H56" s="107" t="str">
        <f>IF(OR(AND(Table_3_UK!K6&gt;750,Table_3_UK!L6&gt;2),AND(Table_3_UK!K6&lt;-750,Table_3_UK!L6&gt;2),AND(Table_3_UK!K7&gt;750,Table_3_UK!L7&gt;2),AND(Table_3_UK!K7&lt;-750,Table_3_UK!L7&gt;2),AND(Table_3_UK!K8&gt;750,Table_3_UK!L8&gt;2),AND(Table_3_UK!K8&lt;-750,Table_3_UK!L8&gt;2),AND(Table_3_UK!K10&gt;750,Table_3_UK!L10&gt;2),AND(Table_3_UK!K10&lt;-750,Table_3_UK!L10&gt;2),AND(Table_3_UK!K11&gt;750,Table_3_UK!L11&gt;2),AND(Table_3_UK!K11&lt;-750,Table_3_UK!L11&gt;2),AND(Table_3_UK!K12&gt;750,Table_3_UK!L12&gt;2),AND(Table_3_UK!K12&lt;-750,Table_3_UK!L12&gt;2),AND(Table_3_UK!K13&gt;750,Table_3_UK!L13&gt;2),AND(Table_3_UK!K13&lt;-750,Table_3_UK!L13&gt;2),AND(Table_3_UK!K14&gt;750,Table_3_UK!L14&gt;2),AND(Table_3_UK!K14&lt;-750,Table_3_UK!L14&gt;2),AND(Table_3_UK!K18&gt;750,Table_3_UK!L18&gt;2),AND(Table_3_UK!K18&lt;-750,Table_3_UK!L18&gt;2),AND(Table_3_UK!K19&gt;750,Table_3_UK!L19&gt;2),AND(Table_3_UK!K19&lt;-750,Table_3_UK!L19&gt;2),AND(Table_3_UK!K20&gt;750,Table_3_UK!L20&gt;2),AND(Table_3_UK!K20&lt;-750,Table_3_UK!L20&gt;2),AND(Table_3_UK!K23&gt;750,Table_3_UK!L23&gt;2),AND(Table_3_UK!K23&lt;-750,Table_3_UK!L23&gt;2),AND(Table_3_UK!K27&gt;750,Table_3_UK!L27&gt;2),AND(Table_3_UK!K27&lt;-750,Table_3_UK!L27&gt;2),AND(Table_3_UK!K28&gt;750,Table_3_UK!L28&gt;2),AND(Table_3_UK!K28&lt;-750,Table_3_UK!L28&gt;2),AND(Table_3_UK!K29&gt;750,Table_3_UK!L29&gt;2),AND(Table_3_UK!K29&lt;-750,Table_3_UK!L29&gt;2),AND(Table_3_UK!K31&gt;750,Table_3_UK!L31&gt;2),AND(Table_3_UK!K31&lt;-750,Table_3_UK!L31&gt;2),AND(Table_3_UK!K32&gt;750,Table_3_UK!L32&gt;2),AND(Table_3_UK!K32&lt;-750,Table_3_UK!L32&gt;2),AND(Table_3_UK!K35&gt;750,Table_3_UK!L35&gt;2),AND(Table_3_UK!K35&lt;-750,Table_3_UK!L35&gt;2),AND(Table_3_UK!K42&gt;750,Table_3_UK!L42&gt;2),AND(Table_3_UK!K42&lt;-750,Table_3_UK!L42&gt;2),AND(Table_3_UK!K43&gt;750,Table_3_UK!L43&gt;2),AND(Table_3_UK!K43&lt;-750,Table_3_UK!L43&gt;2),AND(Table_3_UK!K44&gt;750,Table_3_UK!L44&gt;2),AND(Table_3_UK!K44&lt;-750,Table_3_UK!L44&gt;2),AND(Table_3_UK!K45&gt;750,Table_3_UK!L45&gt;2),AND(Table_3_UK!K45&lt;-750,Table_3_UK!L45&gt;2),AND(Table_3_UK!K49&gt;750,Table_3_UK!L49&gt;2),AND(Table_3_UK!K49&lt;-750,Table_3_UK!L49&gt;2),AND(Table_3_UK!K50&gt;750,Table_3_UK!L50&gt;2),AND(Table_3_UK!K50&lt;-750,Table_3_UK!L50&gt;2),AND(Table_3_UK!K56&gt;750,Table_3_UK!L56&gt;2),AND(Table_3_UK!K56&lt;-750,Table_3_UK!L56&gt;2),AND(Table_3_UK!K57&gt;750,Table_3_UK!L57&gt;2),AND(Table_3_UK!K57&lt;-750,Table_3_UK!L57&gt;2),AND(Table_3_UK!K59&gt;750,Table_3_UK!L59&gt;2),AND(Table_3_UK!K59&lt;-750,Table_3_UK!L59&gt;2),AND(Table_3_UK!K60&gt;750,Table_3_UK!L60&gt;2),AND(Table_3_UK!K60&lt;-750,Table_3_UK!L60&gt;2),AND(Table_3_UK!K63&gt;750,Table_3_UK!L63&gt;2),AND(Table_3_UK!K63&lt;-750,Table_3_UK!L63&gt;2)),"FAIL","PASS")</f>
        <v>PASS</v>
      </c>
      <c r="I56" s="108" t="str">
        <f>Table_3_UK!H6&amp;", "&amp;Table_3_UK!H7&amp;", "&amp;Table_3_UK!H8&amp;", "&amp;Table_3_UK!H10&amp;", "&amp;Table_3_UK!H11&amp;", "&amp;Table_3_UK!H12&amp;", "&amp;Table_3_UK!H13&amp;", "&amp;Table_3_UK!H14&amp;", "&amp;Table_3_UK!H18&amp;", "&amp;Table_3_UK!H19&amp;", "&amp;Table_3_UK!H20&amp;", "&amp;Table_3_UK!H23&amp;", "&amp;Table_3_UK!H27&amp;", "&amp;Table_3_UK!H28&amp;", "&amp;Table_3_UK!H29&amp;", "&amp;Table_3_UK!H31&amp;", "&amp;Table_3_UK!H32&amp;", "&amp;Table_3_UK!H35&amp;", "&amp;Table_3_UK!H42&amp;", "&amp;Table_3_UK!H43&amp;", "&amp;Table_3_UK!H44&amp;", "&amp;Table_3_UK!H45&amp;", "&amp;Table_3_UK!H49&amp;", "&amp;Table_3_UK!H50&amp;", "&amp;Table_3_UK!H56&amp;", "&amp;Table_3_UK!H57&amp;", "&amp;Table_3_UK!H59&amp;", "&amp;Table_3_UK!H60&amp;", "&amp;Table_3_UK!H63</f>
        <v>0, 0, 0, 1818506, 213942, 817616, 0, 0, 3220, 138727, 207411, 0, 0, 2951, 269, 1655, 340454, 0, 591474, 774, 12666, 100, 432917, 0, 459869, 45470, 1340734, 208585, 0</v>
      </c>
      <c r="K56" s="105"/>
      <c r="N56" s="36">
        <f t="shared" si="0"/>
        <v>0</v>
      </c>
      <c r="O56" s="36">
        <f t="shared" si="1"/>
        <v>0</v>
      </c>
    </row>
    <row r="57" spans="1:15" customFormat="1" ht="52.35" customHeight="1" x14ac:dyDescent="0.25">
      <c r="A57" s="109" t="s">
        <v>288</v>
      </c>
      <c r="B57" s="610" t="s">
        <v>289</v>
      </c>
      <c r="C57" s="609"/>
      <c r="D57" s="609"/>
      <c r="E57" s="609" t="s">
        <v>290</v>
      </c>
      <c r="F57" s="609"/>
      <c r="G57" s="103" t="s">
        <v>204</v>
      </c>
      <c r="H57" s="107" t="str">
        <f>IF(OR(AND(Table_3_UK!I6&lt;&gt;Table_3_UK!J6),AND(Table_3_UK!I7&lt;&gt;Table_3_UK!J7),AND(Table_3_UK!I8&lt;&gt;Table_3_UK!J8),AND(Table_3_UK!I10&lt;&gt;Table_3_UK!J10),AND(Table_3_UK!I11&lt;&gt;Table_3_UK!J11),AND(Table_3_UK!I12&lt;&gt;Table_3_UK!J12),AND(Table_3_UK!I13&lt;&gt;Table_3_UK!J13),AND(Table_3_UK!I14&lt;&gt;Table_3_UK!J14),AND(Table_3_UK!I18&lt;&gt;Table_3_UK!J18),AND(Table_3_UK!I19&lt;&gt;Table_3_UK!J19),AND(Table_3_UK!I20&lt;&gt;Table_3_UK!J20),AND(Table_3_UK!I23&lt;&gt;Table_3_UK!J23),AND(Table_3_UK!I27&lt;&gt;Table_3_UK!J27),AND(Table_3_UK!I28&lt;&gt;Table_3_UK!J28),AND(Table_3_UK!I29&lt;&gt;Table_3_UK!J29),AND(Table_3_UK!I31&lt;&gt;Table_3_UK!J31),AND(Table_3_UK!I32&lt;&gt;Table_3_UK!J32),AND(Table_3_UK!I35&lt;&gt;Table_3_UK!J35),AND(Table_3_UK!I42&lt;&gt;Table_3_UK!J42),AND(Table_3_UK!I43&lt;&gt;Table_3_UK!J43),AND(Table_3_UK!I44&lt;&gt;Table_3_UK!J44),AND(Table_3_UK!I45&lt;&gt;Table_3_UK!J45),AND(Table_3_UK!I49&lt;&gt;Table_3_UK!J49),AND(Table_3_UK!I50&lt;&gt;Table_3_UK!J50),AND(Table_3_UK!I56&lt;&gt;Table_3_UK!J56),AND(Table_3_UK!I57&lt;&gt;Table_3_UK!J57),AND(Table_3_UK!I59&lt;&gt;Table_3_UK!J59),AND(Table_3_UK!I60&lt;&gt;Table_3_UK!J60),AND(Table_3_UK!I63&lt;&gt;Table_3_UK!J63)),"FAIL","PASS")</f>
        <v>FAIL</v>
      </c>
      <c r="I57" s="108" t="str">
        <f>Table_3_UK!I6&amp;", "&amp;Table_3_UK!I7&amp;", "&amp;Table_3_UK!I8&amp;", "&amp;Table_3_UK!I10&amp;", "&amp;Table_3_UK!I11&amp;", "&amp;Table_3_UK!I12&amp;", "&amp;Table_3_UK!I13&amp;", "&amp;Table_3_UK!I14&amp;", "&amp;Table_3_UK!I18&amp;", "&amp;Table_3_UK!I19&amp;", "&amp;Table_3_UK!I20&amp;", "&amp;Table_3_UK!I23&amp;", "&amp;Table_3_UK!I27&amp;", "&amp;Table_3_UK!I28&amp;", "&amp;Table_3_UK!I29&amp;", "&amp;Table_3_UK!I31&amp;", "&amp;Table_3_UK!I32&amp;", "&amp;Table_3_UK!I35&amp;", "&amp;Table_3_UK!I42&amp;", "&amp;Table_3_UK!I43&amp;", "&amp;Table_3_UK!I44&amp;", "&amp;Table_3_UK!I45&amp;", "&amp;Table_3_UK!I49&amp;", "&amp;Table_3_UK!I50&amp;", "&amp;Table_3_UK!I56&amp;", "&amp;Table_3_UK!I57&amp;", "&amp;Table_3_UK!I59&amp;", "&amp;Table_3_UK!I60&amp;", "&amp;Table_3_UK!I63</f>
        <v>0, 0, 0, 1741144, 212844, 570854, 0, 0, 3579, 132626, 180000, 0, 0, 3185, 244, 742, 306449, 0, 380617, 565, 4450, 731, 163264, 0, 424104, 56804, 1528193, 207780, 0</v>
      </c>
      <c r="K57" s="105"/>
      <c r="N57" s="36">
        <f t="shared" si="0"/>
        <v>0</v>
      </c>
      <c r="O57" s="36">
        <f t="shared" si="1"/>
        <v>1</v>
      </c>
    </row>
    <row r="58" spans="1:15" customFormat="1" ht="15.75" customHeight="1" x14ac:dyDescent="0.25">
      <c r="A58" s="109" t="s">
        <v>291</v>
      </c>
      <c r="B58" s="610" t="s">
        <v>292</v>
      </c>
      <c r="C58" s="609"/>
      <c r="D58" s="609"/>
      <c r="E58" s="609" t="s">
        <v>293</v>
      </c>
      <c r="F58" s="609"/>
      <c r="G58" s="107" t="s">
        <v>197</v>
      </c>
      <c r="H58" s="107" t="str">
        <f>IF(AND(B4="S",(Table_3_UK!H20&lt;&gt;Table_3_Scotland!H12)),"FAIL","PASS")</f>
        <v>PASS</v>
      </c>
      <c r="I58" s="104" t="str">
        <f>Table_3_UK!H20&amp;", "&amp;Table_3_Scotland!H12</f>
        <v>207411, 207411</v>
      </c>
      <c r="K58" s="99"/>
      <c r="N58" s="36">
        <f t="shared" si="0"/>
        <v>0</v>
      </c>
      <c r="O58" s="36">
        <f t="shared" ref="O58:O75" si="2">IF(AND(G58="Warning",H58="FAIL"),1,0)</f>
        <v>0</v>
      </c>
    </row>
    <row r="59" spans="1:15" customFormat="1" ht="15.75" customHeight="1" x14ac:dyDescent="0.25">
      <c r="A59" s="109" t="s">
        <v>294</v>
      </c>
      <c r="B59" s="610" t="s">
        <v>295</v>
      </c>
      <c r="C59" s="609"/>
      <c r="D59" s="609"/>
      <c r="E59" s="609" t="s">
        <v>296</v>
      </c>
      <c r="F59" s="609"/>
      <c r="G59" s="107" t="s">
        <v>197</v>
      </c>
      <c r="H59" s="107" t="str">
        <f>IF(AND(B4="S",(Table_3_UK!H21&lt;&gt;Table_3_Scotland!H20)),"FAIL","PASS")</f>
        <v>PASS</v>
      </c>
      <c r="I59" s="104" t="str">
        <f>Table_3_UK!H21&amp;", "&amp;Table_3_Scotland!H20</f>
        <v>238496, 238496</v>
      </c>
      <c r="K59" s="99"/>
      <c r="N59" s="36">
        <f t="shared" si="0"/>
        <v>0</v>
      </c>
      <c r="O59" s="36">
        <f t="shared" si="2"/>
        <v>0</v>
      </c>
    </row>
    <row r="60" spans="1:15" customFormat="1" ht="15.75" customHeight="1" x14ac:dyDescent="0.25">
      <c r="A60" s="109" t="s">
        <v>297</v>
      </c>
      <c r="B60" s="610" t="s">
        <v>298</v>
      </c>
      <c r="C60" s="609"/>
      <c r="D60" s="609"/>
      <c r="E60" s="609" t="s">
        <v>299</v>
      </c>
      <c r="F60" s="609"/>
      <c r="G60" s="107" t="s">
        <v>197</v>
      </c>
      <c r="H60" s="107" t="str">
        <f>IF(AND(B4="S",(Table_3_UK!I20&lt;&gt;Table_3_Scotland!I12)),"FAIL","PASS")</f>
        <v>PASS</v>
      </c>
      <c r="I60" s="104" t="str">
        <f>Table_3_UK!I20&amp;", "&amp;Table_3_Scotland!I12</f>
        <v>180000, 180000</v>
      </c>
      <c r="K60" s="99"/>
      <c r="M60" s="68"/>
      <c r="N60" s="36">
        <f t="shared" si="0"/>
        <v>0</v>
      </c>
      <c r="O60" s="36">
        <f t="shared" si="2"/>
        <v>0</v>
      </c>
    </row>
    <row r="61" spans="1:15" customFormat="1" ht="15.75" customHeight="1" x14ac:dyDescent="0.25">
      <c r="A61" s="109" t="s">
        <v>300</v>
      </c>
      <c r="B61" s="610" t="s">
        <v>301</v>
      </c>
      <c r="C61" s="609"/>
      <c r="D61" s="609"/>
      <c r="E61" s="609" t="s">
        <v>302</v>
      </c>
      <c r="F61" s="609"/>
      <c r="G61" s="107" t="s">
        <v>197</v>
      </c>
      <c r="H61" s="107" t="str">
        <f>IF(AND(B4="S",(Table_3_UK!I21&lt;&gt;Table_3_Scotland!I20)),"FAIL","PASS")</f>
        <v>PASS</v>
      </c>
      <c r="I61" s="104" t="str">
        <f>Table_3_UK!I21&amp;", "&amp;Table_3_Scotland!I20</f>
        <v>236081, 236081</v>
      </c>
      <c r="K61" s="99"/>
      <c r="N61" s="36">
        <f t="shared" si="0"/>
        <v>0</v>
      </c>
      <c r="O61" s="36">
        <f t="shared" si="2"/>
        <v>0</v>
      </c>
    </row>
    <row r="62" spans="1:15" customFormat="1" ht="15.75" customHeight="1" x14ac:dyDescent="0.25">
      <c r="A62" s="109" t="s">
        <v>303</v>
      </c>
      <c r="B62" s="610" t="s">
        <v>304</v>
      </c>
      <c r="C62" s="609"/>
      <c r="D62" s="609"/>
      <c r="E62" s="609" t="s">
        <v>305</v>
      </c>
      <c r="F62" s="609"/>
      <c r="G62" s="103" t="s">
        <v>204</v>
      </c>
      <c r="H62" s="107" t="str">
        <f>IF(AND(B4="S", OR(Table_3_Scotland!H12=0,Table_3_Scotland!I12=0,Table_3_Scotland!H20=0,Table_3_Scotland!I20=0)),"FAIL","PASS")</f>
        <v>PASS</v>
      </c>
      <c r="I62" s="104" t="str">
        <f>Table_3_Scotland!H12&amp;", "&amp;Table_3_Scotland!I12&amp;", "&amp;Table_3_Scotland!H20&amp;", "&amp;Table_3_Scotland!I20</f>
        <v>207411, 180000, 238496, 236081</v>
      </c>
      <c r="J62" s="111"/>
      <c r="K62" s="111"/>
      <c r="N62" s="36">
        <f t="shared" si="0"/>
        <v>0</v>
      </c>
      <c r="O62" s="36">
        <f t="shared" si="2"/>
        <v>0</v>
      </c>
    </row>
    <row r="63" spans="1:15" customFormat="1" ht="15.75" customHeight="1" x14ac:dyDescent="0.25">
      <c r="A63" s="109" t="s">
        <v>306</v>
      </c>
      <c r="B63" s="610" t="s">
        <v>307</v>
      </c>
      <c r="C63" s="609"/>
      <c r="D63" s="609"/>
      <c r="E63" s="609" t="s">
        <v>305</v>
      </c>
      <c r="F63" s="609"/>
      <c r="G63" s="103" t="s">
        <v>197</v>
      </c>
      <c r="H63" s="107" t="str">
        <f>IF(AND(OR(B4="W",B4="N"),OR(Table_3_Scotland!H12&gt;0,Table_3_Scotland!I12&gt;0,Table_3_Scotland!H20&gt;0,Table_3_Scotland!I20&gt;0)),"FAIL","PASS")</f>
        <v>PASS</v>
      </c>
      <c r="I63" s="104" t="str">
        <f>Table_3_Scotland!H12&amp;", "&amp;Table_3_Scotland!I12&amp;", "&amp;Table_3_Scotland!H20&amp;", "&amp;Table_3_Scotland!I20</f>
        <v>207411, 180000, 238496, 236081</v>
      </c>
      <c r="J63" s="112"/>
      <c r="K63" s="112"/>
      <c r="N63" s="36">
        <f t="shared" si="0"/>
        <v>0</v>
      </c>
      <c r="O63" s="36">
        <f t="shared" si="2"/>
        <v>0</v>
      </c>
    </row>
    <row r="64" spans="1:15" customFormat="1" ht="45.95" customHeight="1" x14ac:dyDescent="0.25">
      <c r="A64" s="109" t="s">
        <v>308</v>
      </c>
      <c r="B64" s="610" t="s">
        <v>309</v>
      </c>
      <c r="C64" s="609"/>
      <c r="D64" s="609"/>
      <c r="E64" s="609" t="s">
        <v>310</v>
      </c>
      <c r="F64" s="609"/>
      <c r="G64" s="103" t="s">
        <v>204</v>
      </c>
      <c r="H64" s="107" t="str">
        <f>IF(OR(AND(Table_3_Scotland!K7&gt;750,Table_3_Scotland!L7&gt;2),AND(Table_3_Scotland!K7&lt;-750,Table_3_Scotland!L7&gt;2),AND(Table_3_Scotland!K8&gt;750,Table_3_Scotland!L8&gt;2),AND(Table_3_Scotland!K8&lt;-750,Table_3_Scotland!L8&gt;2),AND(Table_3_Scotland!K9&gt;750,Table_3_Scotland!L9&gt;2),AND(Table_3_Scotland!K9&lt;-750,Table_3_Scotland!L9&gt;2),AND(Table_3_Scotland!K10&gt;750,Table_3_Scotland!L10&gt;2),AND(Table_3_Scotland!K10&lt;-750,Table_3_Scotland!L10&gt;2),AND(Table_3_Scotland!K11&gt;750,Table_3_Scotland!L11&gt;2),AND(Table_3_Scotland!K11&lt;-750,Table_3_Scotland!L11&gt;2),AND(Table_3_Scotland!K15&gt;750,Table_3_Scotland!L15&gt;2),AND(Table_3_Scotland!K15&lt;-750,Table_3_Scotland!L15&gt;2),AND(Table_3_Scotland!K16&gt;750,Table_3_Scotland!L16&gt;2),AND(Table_3_Scotland!K16&lt;-750,Table_3_Scotland!L16&gt;2),AND(Table_3_Scotland!K17&gt;750,Table_3_Scotland!L17&gt;2),AND(Table_3_Scotland!K17&lt;-750,Table_3_Scotland!L17&gt;2),AND(Table_3_Scotland!K18&gt;750,Table_3_Scotland!L18&gt;2),AND(Table_3_Scotland!K18&lt;-750,Table_3_Scotland!L18&gt;2),AND(Table_3_Scotland!K19&gt;750,Table_3_Scotland!L19&gt;2),AND(Table_3_Scotland!K19&lt;-750,Table_3_Scotland!L19&gt;2)),"FAIL","PASS")</f>
        <v>PASS</v>
      </c>
      <c r="I64" s="108" t="str">
        <f>Table_3_Scotland!H7&amp;", "&amp;Table_3_Scotland!H8&amp;", "&amp;Table_3_Scotland!H9&amp;", "&amp;Table_3_Scotland!H10&amp;", "&amp;Table_3_Scotland!H11&amp;", "&amp;Table_3_Scotland!H15&amp;", "&amp;Table_3_Scotland!H16&amp;", "&amp;Table_3_Scotland!H17&amp;", "&amp;Table_3_Scotland!H18&amp;", "&amp;Table_3_Scotland!H19</f>
        <v>0, 0, 0, 147296, 60115, 0, 0, 0, 0, 238496</v>
      </c>
      <c r="K64" s="105"/>
      <c r="N64" s="36">
        <f t="shared" si="0"/>
        <v>0</v>
      </c>
      <c r="O64" s="36">
        <f t="shared" si="2"/>
        <v>0</v>
      </c>
    </row>
    <row r="65" spans="1:15" customFormat="1" ht="21.4" customHeight="1" x14ac:dyDescent="0.25">
      <c r="A65" s="109" t="s">
        <v>311</v>
      </c>
      <c r="B65" s="610" t="s">
        <v>312</v>
      </c>
      <c r="C65" s="609"/>
      <c r="D65" s="609"/>
      <c r="E65" s="609" t="s">
        <v>313</v>
      </c>
      <c r="F65" s="609"/>
      <c r="G65" s="103" t="s">
        <v>204</v>
      </c>
      <c r="H65" s="107" t="str">
        <f>IF(OR(AND(Table_3_Scotland!I7&lt;&gt;Table_3_Scotland!J7),AND(Table_3_Scotland!I8&lt;&gt;Table_3_Scotland!J8),AND(Table_3_Scotland!I9&lt;&gt;Table_3_Scotland!J9),AND(Table_3_Scotland!I10&lt;&gt;Table_3_Scotland!J10),AND(Table_3_Scotland!I11&lt;&gt;Table_3_Scotland!J11),AND(Table_3_Scotland!I15&lt;&gt;Table_3_Scotland!J15),AND(Table_3_Scotland!I16&lt;&gt;Table_3_Scotland!J16),AND(Table_3_Scotland!I17&lt;&gt;Table_3_Scotland!J17),AND(Table_3_Scotland!I18&lt;&gt;Table_3_Scotland!J18),AND(Table_3_Scotland!I19&lt;&gt;Table_3_Scotland!J19)),"FAIL","PASS")</f>
        <v>PASS</v>
      </c>
      <c r="I65" s="108" t="str">
        <f>Table_3_Scotland!I7&amp;", "&amp;Table_3_Scotland!I8&amp;", "&amp;Table_3_Scotland!I9&amp;", "&amp;Table_3_Scotland!I10&amp;", "&amp;Table_3_Scotland!I11&amp;", "&amp;Table_3_Scotland!I15&amp;", "&amp;Table_3_Scotland!I16&amp;", "&amp;Table_3_Scotland!I17&amp;", "&amp;Table_3_Scotland!I18&amp;", "&amp;Table_3_Scotland!I19</f>
        <v>0, 0, 0, 140833, 39167, 0, 0, 0, 0, 236081</v>
      </c>
      <c r="K65" s="105"/>
      <c r="N65" s="36">
        <f t="shared" si="0"/>
        <v>0</v>
      </c>
      <c r="O65" s="36">
        <f t="shared" si="2"/>
        <v>0</v>
      </c>
    </row>
    <row r="66" spans="1:15" customFormat="1" ht="15.75" customHeight="1" x14ac:dyDescent="0.25">
      <c r="A66" s="109" t="s">
        <v>314</v>
      </c>
      <c r="B66" s="610" t="s">
        <v>315</v>
      </c>
      <c r="C66" s="609"/>
      <c r="D66" s="609"/>
      <c r="E66" s="609" t="s">
        <v>316</v>
      </c>
      <c r="F66" s="609"/>
      <c r="G66" s="103" t="s">
        <v>197</v>
      </c>
      <c r="H66" s="107" t="str">
        <f>IF(AND(SUM(Table_4_UK!H22:I22)&lt;&gt;0,ISBLANK(Table_4_UK!M22)),"FAIL","PASS")</f>
        <v>PASS</v>
      </c>
      <c r="I66" s="104" t="str">
        <f>Table_4_UK!H22&amp;", "&amp;Table_4_UK!I22</f>
        <v>0, 0</v>
      </c>
      <c r="K66" s="99"/>
      <c r="N66" s="36">
        <f t="shared" si="0"/>
        <v>0</v>
      </c>
      <c r="O66" s="36">
        <f t="shared" si="2"/>
        <v>0</v>
      </c>
    </row>
    <row r="67" spans="1:15" customFormat="1" ht="15.75" customHeight="1" x14ac:dyDescent="0.25">
      <c r="A67" s="109" t="s">
        <v>317</v>
      </c>
      <c r="B67" s="610" t="s">
        <v>318</v>
      </c>
      <c r="C67" s="609"/>
      <c r="D67" s="609"/>
      <c r="E67" s="609" t="s">
        <v>316</v>
      </c>
      <c r="F67" s="609"/>
      <c r="G67" s="103" t="s">
        <v>197</v>
      </c>
      <c r="H67" s="107" t="str">
        <f>IF(AND(SUM(Table_4_UK!H22:I22)=0,NOT(ISBLANK(Table_4_UK!M22))),"FAIL","PASS")</f>
        <v>PASS</v>
      </c>
      <c r="I67" s="104">
        <f>Table_4_UK!M22</f>
        <v>0</v>
      </c>
      <c r="K67" s="99"/>
      <c r="N67" s="36">
        <f t="shared" si="0"/>
        <v>0</v>
      </c>
      <c r="O67" s="36">
        <f t="shared" si="2"/>
        <v>0</v>
      </c>
    </row>
    <row r="68" spans="1:15" customFormat="1" ht="15.75" customHeight="1" x14ac:dyDescent="0.25">
      <c r="A68" s="109" t="s">
        <v>319</v>
      </c>
      <c r="B68" s="610" t="s">
        <v>320</v>
      </c>
      <c r="C68" s="609"/>
      <c r="D68" s="609"/>
      <c r="E68" s="609" t="s">
        <v>321</v>
      </c>
      <c r="F68" s="609"/>
      <c r="G68" s="113" t="s">
        <v>204</v>
      </c>
      <c r="H68" s="107" t="str">
        <f>IF(Table_4_UK!H29&lt;&gt;0,"PASS","FAIL")</f>
        <v>PASS</v>
      </c>
      <c r="I68" s="108">
        <f>Table_4_UK!H29</f>
        <v>-89460</v>
      </c>
      <c r="K68" s="99"/>
      <c r="N68" s="36">
        <f t="shared" si="0"/>
        <v>0</v>
      </c>
      <c r="O68" s="36">
        <f t="shared" si="2"/>
        <v>0</v>
      </c>
    </row>
    <row r="69" spans="1:15" customFormat="1" ht="15.75" customHeight="1" x14ac:dyDescent="0.25">
      <c r="A69" s="109" t="s">
        <v>322</v>
      </c>
      <c r="B69" s="610" t="s">
        <v>323</v>
      </c>
      <c r="C69" s="609"/>
      <c r="D69" s="609"/>
      <c r="E69" s="609" t="s">
        <v>324</v>
      </c>
      <c r="F69" s="609"/>
      <c r="G69" s="113" t="s">
        <v>204</v>
      </c>
      <c r="H69" s="107" t="str">
        <f>IF(Table_4_UK!I29&lt;&gt;0,"PASS","FAIL")</f>
        <v>PASS</v>
      </c>
      <c r="I69" s="108">
        <f>Table_4_UK!I29</f>
        <v>-43818</v>
      </c>
      <c r="K69" s="99"/>
      <c r="N69" s="36">
        <f t="shared" si="0"/>
        <v>0</v>
      </c>
      <c r="O69" s="36">
        <f t="shared" si="2"/>
        <v>0</v>
      </c>
    </row>
    <row r="70" spans="1:15" customFormat="1" ht="15.75" customHeight="1" x14ac:dyDescent="0.25">
      <c r="A70" s="109" t="s">
        <v>325</v>
      </c>
      <c r="B70" s="610" t="s">
        <v>326</v>
      </c>
      <c r="C70" s="609"/>
      <c r="D70" s="609"/>
      <c r="E70" s="609" t="s">
        <v>327</v>
      </c>
      <c r="F70" s="609"/>
      <c r="G70" s="113" t="s">
        <v>204</v>
      </c>
      <c r="H70" s="107" t="str">
        <f>IF(Table_4_UK!H36&lt;&gt;0,"PASS","FAIL")</f>
        <v>PASS</v>
      </c>
      <c r="I70" s="108">
        <f>Table_4_UK!H36</f>
        <v>89460</v>
      </c>
      <c r="K70" s="99"/>
      <c r="N70" s="36">
        <f t="shared" si="0"/>
        <v>0</v>
      </c>
      <c r="O70" s="36">
        <f t="shared" si="2"/>
        <v>0</v>
      </c>
    </row>
    <row r="71" spans="1:15" customFormat="1" ht="15.75" customHeight="1" x14ac:dyDescent="0.25">
      <c r="A71" s="109" t="s">
        <v>328</v>
      </c>
      <c r="B71" s="610" t="s">
        <v>329</v>
      </c>
      <c r="C71" s="609"/>
      <c r="D71" s="609"/>
      <c r="E71" s="609" t="s">
        <v>330</v>
      </c>
      <c r="F71" s="609"/>
      <c r="G71" s="113" t="s">
        <v>204</v>
      </c>
      <c r="H71" s="107" t="str">
        <f>IF(Table_4_UK!I36&lt;&gt;0,"PASS","FAIL")</f>
        <v>PASS</v>
      </c>
      <c r="I71" s="108">
        <f>Table_4_UK!I36</f>
        <v>43818</v>
      </c>
      <c r="K71" s="99"/>
      <c r="N71" s="36">
        <f t="shared" si="0"/>
        <v>0</v>
      </c>
      <c r="O71" s="36">
        <f t="shared" si="2"/>
        <v>0</v>
      </c>
    </row>
    <row r="72" spans="1:15" customFormat="1" ht="15.75" customHeight="1" x14ac:dyDescent="0.25">
      <c r="A72" s="109" t="s">
        <v>331</v>
      </c>
      <c r="B72" s="610" t="s">
        <v>332</v>
      </c>
      <c r="C72" s="609"/>
      <c r="D72" s="609"/>
      <c r="E72" s="609" t="s">
        <v>333</v>
      </c>
      <c r="F72" s="609"/>
      <c r="G72" s="113" t="s">
        <v>197</v>
      </c>
      <c r="H72" s="107" t="str">
        <f>IF((ABS(Table_3_UK!H21-Table_3_UK!H27 - Table_4_UK!H62))&gt;5,"FAIL","PASS")</f>
        <v>PASS</v>
      </c>
      <c r="I72" s="108" t="str">
        <f>CONCATENATE(Table_3_UK!H21, ", ",Table_3_UK!H27,", ", Table_4_UK!H62)</f>
        <v>238496, 0, 238495</v>
      </c>
      <c r="K72" s="99"/>
      <c r="N72" s="36">
        <f t="shared" si="0"/>
        <v>0</v>
      </c>
      <c r="O72" s="36">
        <f t="shared" si="2"/>
        <v>0</v>
      </c>
    </row>
    <row r="73" spans="1:15" customFormat="1" ht="15.75" customHeight="1" x14ac:dyDescent="0.25">
      <c r="A73" s="109" t="s">
        <v>334</v>
      </c>
      <c r="B73" s="610" t="s">
        <v>335</v>
      </c>
      <c r="C73" s="609"/>
      <c r="D73" s="609"/>
      <c r="E73" s="609" t="s">
        <v>336</v>
      </c>
      <c r="F73" s="609"/>
      <c r="G73" s="113" t="s">
        <v>197</v>
      </c>
      <c r="H73" s="107" t="str">
        <f>IF((ABS(Table_3_UK!I21-Table_3_UK!I27 - Table_4_UK!I62))&gt;5,"FAIL","PASS")</f>
        <v>PASS</v>
      </c>
      <c r="I73" s="108" t="str">
        <f>CONCATENATE(Table_3_UK!I21, ", ",Table_3_UK!I27,", ", Table_4_UK!I62)</f>
        <v>236081, 0, 236081</v>
      </c>
      <c r="K73" s="99"/>
      <c r="N73" s="36">
        <f t="shared" si="0"/>
        <v>0</v>
      </c>
      <c r="O73" s="36">
        <f t="shared" si="2"/>
        <v>0</v>
      </c>
    </row>
    <row r="74" spans="1:15" customFormat="1" ht="15.75" customHeight="1" x14ac:dyDescent="0.25">
      <c r="A74" s="109" t="s">
        <v>337</v>
      </c>
      <c r="B74" s="610" t="s">
        <v>338</v>
      </c>
      <c r="C74" s="609"/>
      <c r="D74" s="609"/>
      <c r="E74" s="609" t="s">
        <v>339</v>
      </c>
      <c r="F74" s="609"/>
      <c r="G74" s="113" t="s">
        <v>204</v>
      </c>
      <c r="H74" s="107" t="str">
        <f>IF(Table_4_UK!H40&lt;Table_4_UK!H41,"PASS","FAIL")</f>
        <v>PASS</v>
      </c>
      <c r="I74" s="108" t="str">
        <f>Table_4_UK!H40&amp;", "&amp;Table_4_UK!H41</f>
        <v>-137021, 0</v>
      </c>
      <c r="K74" s="99"/>
      <c r="N74" s="36">
        <f t="shared" si="0"/>
        <v>0</v>
      </c>
      <c r="O74" s="36">
        <f t="shared" si="2"/>
        <v>0</v>
      </c>
    </row>
    <row r="75" spans="1:15" customFormat="1" ht="15.75" customHeight="1" x14ac:dyDescent="0.25">
      <c r="A75" s="109" t="s">
        <v>340</v>
      </c>
      <c r="B75" s="610" t="s">
        <v>341</v>
      </c>
      <c r="C75" s="609"/>
      <c r="D75" s="609"/>
      <c r="E75" s="609" t="s">
        <v>342</v>
      </c>
      <c r="F75" s="609"/>
      <c r="G75" s="113" t="s">
        <v>197</v>
      </c>
      <c r="H75" s="107" t="str">
        <f>IF(OR(Table_1_UK!H18=Table_4_UK!H9,Table_1_UK!H18=(Table_4_UK!H9+Table_4_UK!H10)),"PASS","FAIL")</f>
        <v>PASS</v>
      </c>
      <c r="I75" s="108" t="str">
        <f>Table_4_UK!H9&amp;", "&amp;Table_4_UK!H10&amp;", "&amp;Table_1_UK!H18</f>
        <v>63758, 0, 63758</v>
      </c>
      <c r="K75" s="99"/>
      <c r="N75" s="36">
        <f t="shared" si="0"/>
        <v>0</v>
      </c>
      <c r="O75" s="36">
        <f t="shared" si="2"/>
        <v>0</v>
      </c>
    </row>
    <row r="76" spans="1:15" customFormat="1" ht="21.4" customHeight="1" x14ac:dyDescent="0.25">
      <c r="A76" s="109" t="s">
        <v>343</v>
      </c>
      <c r="B76" s="610" t="s">
        <v>344</v>
      </c>
      <c r="C76" s="613"/>
      <c r="D76" s="613"/>
      <c r="E76" s="609" t="s">
        <v>345</v>
      </c>
      <c r="F76" s="609"/>
      <c r="G76" s="113" t="s">
        <v>204</v>
      </c>
      <c r="H76" s="107" t="str">
        <f>IF(AND(Table_4_UK!I25&lt;=0,Table_4_UK!I27&lt;=0),"PASS","FAIL")</f>
        <v>PASS</v>
      </c>
      <c r="I76" s="108" t="str">
        <f>Table_4_UK!I25&amp;", "&amp;Table_4_UK!I27</f>
        <v>-14593, -1394</v>
      </c>
      <c r="K76" s="99"/>
      <c r="N76" s="36">
        <f t="shared" si="0"/>
        <v>0</v>
      </c>
    </row>
    <row r="77" spans="1:15" customFormat="1" ht="52.35" customHeight="1" x14ac:dyDescent="0.25">
      <c r="A77" s="109" t="s">
        <v>346</v>
      </c>
      <c r="B77" s="610" t="s">
        <v>347</v>
      </c>
      <c r="C77" s="609"/>
      <c r="D77" s="609"/>
      <c r="E77" s="609" t="s">
        <v>348</v>
      </c>
      <c r="F77" s="609"/>
      <c r="G77" s="103" t="s">
        <v>204</v>
      </c>
      <c r="H77" s="107" t="str">
        <f>IF(OR(AND(Table_4_UK!I6&lt;&gt;Table_4_UK!J6),AND(Table_4_UK!I9&lt;&gt;Table_4_UK!J9),AND(Table_4_UK!I10&lt;&gt;Table_4_UK!J10),AND(Table_4_UK!I11&lt;&gt;Table_4_UK!J11),AND(Table_4_UK!I12&lt;&gt;Table_4_UK!J12),AND(Table_4_UK!I13&lt;&gt;Table_4_UK!J13),AND(Table_4_UK!I14&lt;&gt;Table_4_UK!J14),AND(Table_4_UK!I15&lt;&gt;Table_4_UK!J15),AND(Table_4_UK!I16&lt;&gt;Table_4_UK!J16),AND(Table_4_UK!I17&lt;&gt;Table_4_UK!J17),AND(Table_4_UK!I18&lt;&gt;Table_4_UK!J18),AND(Table_4_UK!I19&lt;&gt;Table_4_UK!J19),AND(Table_4_UK!I20&lt;&gt;Table_4_UK!J20),AND(Table_4_UK!I21&lt;&gt;Table_4_UK!J21),AND(Table_4_UK!I22&lt;&gt;Table_4_UK!J22),AND(Table_4_UK!I25&lt;&gt;Table_4_UK!J25),AND(Table_4_UK!I26&lt;&gt;Table_4_UK!J26),AND(Table_4_UK!I27&lt;&gt;Table_4_UK!J27),AND(Table_4_UK!I28&lt;&gt;Table_4_UK!J28),AND(Table_4_UK!I34&lt;&gt;Table_4_UK!J34),AND(Table_4_UK!I35&lt;&gt;Table_4_UK!J35),AND(Table_4_UK!I37&lt;&gt;Table_4_UK!J37),AND(Table_4_UK!I38&lt;&gt;Table_4_UK!J38),AND(Table_4_UK!I39&lt;&gt;Table_4_UK!J39),AND(Table_4_UK!I41&lt;&gt;Table_4_UK!J41),AND(Table_4_UK!I42&lt;&gt;Table_4_UK!J42),AND(Table_4_UK!I43&lt;&gt;Table_4_UK!J43),AND(Table_4_UK!I49&lt;&gt;Table_4_UK!J49),AND(Table_4_UK!I50&lt;&gt;Table_4_UK!J50),AND(Table_4_UK!I51&lt;&gt;Table_4_UK!J51),AND(Table_4_UK!I52&lt;&gt;Table_4_UK!J52),AND(Table_4_UK!I53&lt;&gt;Table_4_UK!J53),AND(Table_4_UK!I54&lt;&gt;Table_4_UK!J54),AND(Table_4_UK!I55&lt;&gt;Table_4_UK!J55),AND(Table_4_UK!I56&lt;&gt;Table_4_UK!J56),AND(Table_4_UK!I61&lt;&gt;Table_4_UK!J61)),"FAIL","PASS")</f>
        <v>FAIL</v>
      </c>
      <c r="I77" s="108" t="str">
        <f>Table_4_UK!I6&amp;", "&amp;Table_4_UK!I9&amp;", "&amp;Table_4_UK!I10&amp;", "&amp;Table_4_UK!I11&amp;", "&amp;Table_4_UK!I12&amp;", "&amp;Table_4_UK!I13&amp;", "&amp;Table_4_UK!I14&amp;", "&amp;Table_4_UK!I15&amp;", "&amp;Table_4_UK!I16&amp;", "&amp;Table_4_UK!I17&amp;", "&amp;Table_4_UK!I18&amp;", "&amp;Table_4_UK!I19&amp;", "&amp;Table_4_UK!I20&amp;", "&amp;Table_4_UK!I21&amp;", "&amp;Table_4_UK!I22&amp;", "&amp;Table_4_UK!I25&amp;", "&amp;Table_4_UK!I26&amp;", "&amp;Table_4_UK!I27&amp;", "&amp;Table_4_UK!I28&amp;", "&amp;Table_4_UK!I34&amp;", "&amp;Table_4_UK!I35&amp;", "&amp;Table_4_UK!I37&amp;", "&amp;Table_4_UK!I38&amp;", "&amp;Table_4_UK!I39&amp;", "&amp;Table_4_UK!I41&amp;", "&amp;Table_4_UK!I42&amp;", "&amp;Table_4_UK!I43&amp;", "&amp;Table_4_UK!I49&amp;", "&amp;Table_4_UK!I50&amp;", "&amp;Table_4_UK!I51&amp;", "&amp;Table_4_UK!I52&amp;", "&amp;Table_4_UK!I53&amp;", "&amp;Table_4_UK!I54&amp;", "&amp;Table_4_UK!I55&amp;", "&amp;Table_4_UK!I56&amp;", "&amp;Table_4_UK!I61</f>
        <v>69978, 60197, 0, 0, 0, -42357, 85, -10841, 22700, -1400, 0, 0, 0, 0, 0, -14593, 16841, -1394, -187, 1615, 0, 5042, -1030, 14493, 0, -2936, 15000, -10788, -93, 1394, 0, 66700, -3177, -224, 0, 250207</v>
      </c>
      <c r="K77" s="105"/>
      <c r="N77" s="36">
        <f t="shared" si="0"/>
        <v>0</v>
      </c>
      <c r="O77" s="36">
        <f t="shared" ref="O77:O108" si="3">IF(AND(G77="Warning",H77="FAIL"),1,0)</f>
        <v>1</v>
      </c>
    </row>
    <row r="78" spans="1:15" customFormat="1" ht="15.75" customHeight="1" x14ac:dyDescent="0.25">
      <c r="A78" s="113" t="s">
        <v>349</v>
      </c>
      <c r="B78" s="610" t="s">
        <v>350</v>
      </c>
      <c r="C78" s="609"/>
      <c r="D78" s="609"/>
      <c r="E78" s="609" t="s">
        <v>351</v>
      </c>
      <c r="F78" s="609"/>
      <c r="G78" s="103" t="s">
        <v>204</v>
      </c>
      <c r="H78" s="103" t="str">
        <f>IF(AND(OR(Table_5_UK!AE61=0,Table_8_UK!O98&lt;&gt;0),OR(Table_8_UK!O98=0,Table_5_UK!AE61&lt;&gt;0)),"PASS","FAIL")</f>
        <v>PASS</v>
      </c>
      <c r="I78" s="104" t="str">
        <f>Table_5_UK!AE61&amp;", "&amp;Table_8_UK!O98</f>
        <v>285654, 240138</v>
      </c>
      <c r="N78" s="36">
        <f t="shared" si="0"/>
        <v>0</v>
      </c>
      <c r="O78" s="36">
        <f t="shared" si="3"/>
        <v>0</v>
      </c>
    </row>
    <row r="79" spans="1:15" customFormat="1" ht="15.75" customHeight="1" x14ac:dyDescent="0.25">
      <c r="A79" s="113" t="s">
        <v>352</v>
      </c>
      <c r="B79" s="610" t="s">
        <v>353</v>
      </c>
      <c r="C79" s="609"/>
      <c r="D79" s="609"/>
      <c r="E79" s="609" t="s">
        <v>354</v>
      </c>
      <c r="F79" s="609"/>
      <c r="G79" s="113" t="s">
        <v>204</v>
      </c>
      <c r="H79" s="113" t="str">
        <f>IF(AND(OR(Table_5_UK!Q61=0,Table_8_UK!O85&lt;&gt;0),OR(Table_8_UK!O85=0,Table_5_UK!Q61&lt;&gt;0)),"PASS","FAIL")</f>
        <v>PASS</v>
      </c>
      <c r="I79" s="114" t="str">
        <f>Table_5_UK!Q61&amp;", "&amp;Table_8_UK!O85</f>
        <v>113586, 91546</v>
      </c>
      <c r="N79" s="36">
        <f t="shared" si="0"/>
        <v>0</v>
      </c>
      <c r="O79" s="36">
        <f t="shared" si="3"/>
        <v>0</v>
      </c>
    </row>
    <row r="80" spans="1:15" customFormat="1" ht="19.350000000000001" customHeight="1" x14ac:dyDescent="0.25">
      <c r="A80" s="113" t="s">
        <v>355</v>
      </c>
      <c r="B80" s="610" t="s">
        <v>356</v>
      </c>
      <c r="C80" s="609"/>
      <c r="D80" s="609"/>
      <c r="E80" s="609" t="s">
        <v>357</v>
      </c>
      <c r="F80" s="609"/>
      <c r="G80" s="113" t="s">
        <v>204</v>
      </c>
      <c r="H80" s="113" t="str">
        <f>IF(AND(OR(Table_5_UK!R61=0,Table_8_UK!O86&lt;&gt;0),OR(Table_8_UK!O86=0,Table_5_UK!R61&lt;&gt;0)),"PASS","FAIL")</f>
        <v>PASS</v>
      </c>
      <c r="I80" s="114" t="str">
        <f>Table_5_UK!R61&amp;", "&amp;Table_8_UK!O86</f>
        <v>65049, 64210</v>
      </c>
      <c r="N80" s="36">
        <f t="shared" si="0"/>
        <v>0</v>
      </c>
      <c r="O80" s="36">
        <f t="shared" si="3"/>
        <v>0</v>
      </c>
    </row>
    <row r="81" spans="1:15" customFormat="1" ht="15.4" customHeight="1" x14ac:dyDescent="0.25">
      <c r="A81" s="115" t="s">
        <v>358</v>
      </c>
      <c r="B81" s="609" t="s">
        <v>359</v>
      </c>
      <c r="C81" s="609"/>
      <c r="D81" s="609"/>
      <c r="E81" s="609" t="s">
        <v>360</v>
      </c>
      <c r="F81" s="609"/>
      <c r="G81" s="115" t="s">
        <v>204</v>
      </c>
      <c r="H81" s="115" t="str">
        <f>IF(AND(OR(Table_5_UK!S61=0,Table_8_UK!O87&lt;&gt;0),OR(Table_8_UK!O87=0,Table_5_UK!S61&lt;&gt;0)),"PASS","FAIL")</f>
        <v>PASS</v>
      </c>
      <c r="I81" s="53" t="str">
        <f>Table_5_UK!S61&amp;", "&amp;Table_8_UK!O87</f>
        <v>437, 453</v>
      </c>
      <c r="N81" s="36">
        <f t="shared" si="0"/>
        <v>0</v>
      </c>
      <c r="O81" s="36">
        <f t="shared" si="3"/>
        <v>0</v>
      </c>
    </row>
    <row r="82" spans="1:15" customFormat="1" ht="27.75" customHeight="1" x14ac:dyDescent="0.25">
      <c r="A82" s="115" t="s">
        <v>361</v>
      </c>
      <c r="B82" s="609" t="s">
        <v>362</v>
      </c>
      <c r="C82" s="609"/>
      <c r="D82" s="609"/>
      <c r="E82" s="609" t="s">
        <v>363</v>
      </c>
      <c r="F82" s="609"/>
      <c r="G82" s="115" t="s">
        <v>204</v>
      </c>
      <c r="H82" s="115" t="str">
        <f>IF(AND(OR(Table_5_UK!T61=0,Table_8_UK!O88&lt;&gt;0),OR(Table_8_UK!O88=0,Table_5_UK!T61&lt;&gt;0)),"PASS","FAIL")</f>
        <v>PASS</v>
      </c>
      <c r="I82" s="53" t="str">
        <f>Table_5_UK!T61&amp;", "&amp;Table_8_UK!O88</f>
        <v>30501, 22617</v>
      </c>
      <c r="N82" s="36">
        <f t="shared" si="0"/>
        <v>0</v>
      </c>
      <c r="O82" s="36">
        <f t="shared" si="3"/>
        <v>0</v>
      </c>
    </row>
    <row r="83" spans="1:15" customFormat="1" ht="20.65" customHeight="1" x14ac:dyDescent="0.25">
      <c r="A83" s="115" t="s">
        <v>364</v>
      </c>
      <c r="B83" s="609" t="s">
        <v>365</v>
      </c>
      <c r="C83" s="609"/>
      <c r="D83" s="609"/>
      <c r="E83" s="609" t="s">
        <v>366</v>
      </c>
      <c r="F83" s="609"/>
      <c r="G83" s="115" t="s">
        <v>204</v>
      </c>
      <c r="H83" s="115" t="str">
        <f>IF(AND(OR(Table_5_UK!V61=0,Table_8_UK!O89&lt;&gt;0),OR(Table_8_UK!O89=0,Table_5_UK!V61&lt;&gt;0)),"PASS","FAIL")</f>
        <v>PASS</v>
      </c>
      <c r="I83" s="53" t="str">
        <f>Table_5_UK!V61&amp;", "&amp;Table_8_UK!O89</f>
        <v>8803, 6738</v>
      </c>
      <c r="N83" s="36">
        <f t="shared" si="0"/>
        <v>0</v>
      </c>
      <c r="O83" s="36">
        <f t="shared" si="3"/>
        <v>0</v>
      </c>
    </row>
    <row r="84" spans="1:15" customFormat="1" ht="18.399999999999999" customHeight="1" x14ac:dyDescent="0.25">
      <c r="A84" s="115" t="s">
        <v>367</v>
      </c>
      <c r="B84" s="609" t="s">
        <v>368</v>
      </c>
      <c r="C84" s="609"/>
      <c r="D84" s="609"/>
      <c r="E84" s="609" t="s">
        <v>369</v>
      </c>
      <c r="F84" s="609"/>
      <c r="G84" s="115" t="s">
        <v>204</v>
      </c>
      <c r="H84" s="115" t="str">
        <f>IF(AND(OR(Table_5_UK!W61=0,Table_8_UK!O90&lt;&gt;0),OR(Table_8_UK!O90=0,Table_5_UK!W61&lt;&gt;0)),"PASS","FAIL")</f>
        <v>PASS</v>
      </c>
      <c r="I84" s="53" t="str">
        <f>Table_5_UK!W61&amp;", "&amp;Table_8_UK!O90</f>
        <v>6233, 4313</v>
      </c>
      <c r="N84" s="36">
        <f t="shared" si="0"/>
        <v>0</v>
      </c>
      <c r="O84" s="36">
        <f t="shared" si="3"/>
        <v>0</v>
      </c>
    </row>
    <row r="85" spans="1:15" customFormat="1" ht="19.5" customHeight="1" x14ac:dyDescent="0.25">
      <c r="A85" s="115" t="s">
        <v>370</v>
      </c>
      <c r="B85" s="609" t="s">
        <v>371</v>
      </c>
      <c r="C85" s="609"/>
      <c r="D85" s="609"/>
      <c r="E85" s="609" t="s">
        <v>372</v>
      </c>
      <c r="F85" s="609"/>
      <c r="G85" s="115" t="s">
        <v>204</v>
      </c>
      <c r="H85" s="115" t="str">
        <f>IF(AND(OR(Table_5_UK!X61=0,Table_8_UK!O91&lt;&gt;0),OR(Table_8_UK!O91=0,Table_5_UK!X61&lt;&gt;0)),"PASS","FAIL")</f>
        <v>PASS</v>
      </c>
      <c r="I85" s="53" t="str">
        <f>Table_5_UK!X61&amp;", "&amp;Table_8_UK!O91</f>
        <v>36354, 30852</v>
      </c>
      <c r="N85" s="36">
        <f t="shared" si="0"/>
        <v>0</v>
      </c>
      <c r="O85" s="36">
        <f t="shared" si="3"/>
        <v>0</v>
      </c>
    </row>
    <row r="86" spans="1:15" customFormat="1" ht="21.4" customHeight="1" x14ac:dyDescent="0.25">
      <c r="A86" s="115" t="s">
        <v>373</v>
      </c>
      <c r="B86" s="609" t="s">
        <v>374</v>
      </c>
      <c r="C86" s="609"/>
      <c r="D86" s="609"/>
      <c r="E86" s="609" t="s">
        <v>375</v>
      </c>
      <c r="F86" s="609"/>
      <c r="G86" s="115" t="s">
        <v>204</v>
      </c>
      <c r="H86" s="115" t="str">
        <f>IF(AND(OR(Table_5_UK!Y61=0,Table_8_UK!O92&lt;&gt;0),OR(Table_8_UK!O92=0,Table_5_UK!Y61&lt;&gt;0)),"PASS","FAIL")</f>
        <v>PASS</v>
      </c>
      <c r="I86" s="53" t="str">
        <f>Table_5_UK!Y61&amp;", "&amp;Table_8_UK!O92</f>
        <v>198, 197</v>
      </c>
      <c r="N86" s="36">
        <f t="shared" si="0"/>
        <v>0</v>
      </c>
      <c r="O86" s="36">
        <f t="shared" si="3"/>
        <v>0</v>
      </c>
    </row>
    <row r="87" spans="1:15" customFormat="1" ht="20.25" customHeight="1" x14ac:dyDescent="0.25">
      <c r="A87" s="115" t="s">
        <v>376</v>
      </c>
      <c r="B87" s="609" t="s">
        <v>377</v>
      </c>
      <c r="C87" s="609"/>
      <c r="D87" s="609"/>
      <c r="E87" s="609" t="s">
        <v>378</v>
      </c>
      <c r="F87" s="609"/>
      <c r="G87" s="115" t="s">
        <v>204</v>
      </c>
      <c r="H87" s="115" t="str">
        <f>IF(AND(OR(Table_5_UK!Z61=0,Table_8_UK!O93&lt;&gt;0),OR(Table_8_UK!O93=0,Table_5_UK!Z61&lt;&gt;0)),"PASS","FAIL")</f>
        <v>PASS</v>
      </c>
      <c r="I87" s="53" t="str">
        <f>Table_5_UK!Z61&amp;", "&amp;Table_8_UK!O93</f>
        <v>2620, 1628</v>
      </c>
      <c r="N87" s="36">
        <f t="shared" si="0"/>
        <v>0</v>
      </c>
      <c r="O87" s="36">
        <f t="shared" si="3"/>
        <v>0</v>
      </c>
    </row>
    <row r="88" spans="1:15" customFormat="1" ht="18.399999999999999" customHeight="1" x14ac:dyDescent="0.25">
      <c r="A88" s="115" t="s">
        <v>379</v>
      </c>
      <c r="B88" s="609" t="s">
        <v>380</v>
      </c>
      <c r="C88" s="609"/>
      <c r="D88" s="609"/>
      <c r="E88" s="609" t="s">
        <v>381</v>
      </c>
      <c r="F88" s="609"/>
      <c r="G88" s="115" t="s">
        <v>204</v>
      </c>
      <c r="H88" s="115" t="str">
        <f>IF(AND(OR(Table_5_UK!AA61=0,Table_8_UK!O94&lt;&gt;0),OR(Table_8_UK!O94=0,Table_5_UK!AA61&lt;&gt;0)),"PASS","FAIL")</f>
        <v>PASS</v>
      </c>
      <c r="I88" s="53" t="str">
        <f>Table_5_UK!AA61&amp;", "&amp;Table_8_UK!O94</f>
        <v>1068, 922</v>
      </c>
      <c r="N88" s="36">
        <f t="shared" si="0"/>
        <v>0</v>
      </c>
      <c r="O88" s="36">
        <f t="shared" si="3"/>
        <v>0</v>
      </c>
    </row>
    <row r="89" spans="1:15" customFormat="1" ht="22.35" customHeight="1" x14ac:dyDescent="0.25">
      <c r="A89" s="115" t="s">
        <v>382</v>
      </c>
      <c r="B89" s="609" t="s">
        <v>383</v>
      </c>
      <c r="C89" s="609"/>
      <c r="D89" s="609"/>
      <c r="E89" s="609" t="s">
        <v>384</v>
      </c>
      <c r="F89" s="609"/>
      <c r="G89" s="115" t="s">
        <v>204</v>
      </c>
      <c r="H89" s="115" t="str">
        <f>IF(AND(OR(Table_5_UK!AB61=0,Table_8_UK!O95&lt;&gt;0),OR(Table_8_UK!O95=0,Table_5_UK!AB61&lt;&gt;0)),"PASS","FAIL")</f>
        <v>PASS</v>
      </c>
      <c r="I89" s="53" t="str">
        <f>Table_5_UK!AB61&amp;", "&amp;Table_8_UK!O95</f>
        <v>6498, 5780</v>
      </c>
      <c r="N89" s="36">
        <f t="shared" si="0"/>
        <v>0</v>
      </c>
      <c r="O89" s="36">
        <f t="shared" si="3"/>
        <v>0</v>
      </c>
    </row>
    <row r="90" spans="1:15" customFormat="1" ht="21" customHeight="1" x14ac:dyDescent="0.25">
      <c r="A90" s="115" t="s">
        <v>385</v>
      </c>
      <c r="B90" s="609" t="s">
        <v>386</v>
      </c>
      <c r="C90" s="609"/>
      <c r="D90" s="609"/>
      <c r="E90" s="609" t="s">
        <v>387</v>
      </c>
      <c r="F90" s="609"/>
      <c r="G90" s="115" t="s">
        <v>204</v>
      </c>
      <c r="H90" s="115" t="str">
        <f>IF(AND(OR(Table_5_UK!AC61=0,Table_8_UK!O96&lt;&gt;0),OR(Table_8_UK!O96=0,Table_5_UK!AC61&lt;&gt;0)),"PASS","FAIL")</f>
        <v>PASS</v>
      </c>
      <c r="I90" s="53" t="str">
        <f>Table_5_UK!AC61&amp;", "&amp;Table_8_UK!O96</f>
        <v>5104, 6413</v>
      </c>
      <c r="N90" s="36">
        <f t="shared" ref="N90:N153" si="4">IF(AND(G90="Error",H90="FAIL"),1,0)</f>
        <v>0</v>
      </c>
      <c r="O90" s="36">
        <f t="shared" si="3"/>
        <v>0</v>
      </c>
    </row>
    <row r="91" spans="1:15" customFormat="1" ht="16.5" customHeight="1" x14ac:dyDescent="0.25">
      <c r="A91" s="115" t="s">
        <v>388</v>
      </c>
      <c r="B91" s="609" t="s">
        <v>389</v>
      </c>
      <c r="C91" s="609"/>
      <c r="D91" s="609"/>
      <c r="E91" s="609" t="s">
        <v>390</v>
      </c>
      <c r="F91" s="609"/>
      <c r="G91" s="115" t="s">
        <v>204</v>
      </c>
      <c r="H91" s="115" t="str">
        <f>IF(AND(OR(Table_5_UK!AD61=0,Table_8_UK!O97&lt;&gt;0),OR(Table_8_UK!O97=0,Table_5_UK!AD61&lt;&gt;0)),"PASS","FAIL")</f>
        <v>PASS</v>
      </c>
      <c r="I91" s="53" t="str">
        <f>Table_5_UK!AD61&amp;", "&amp;Table_8_UK!O97</f>
        <v>9203, 4469</v>
      </c>
      <c r="N91" s="36">
        <f t="shared" si="4"/>
        <v>0</v>
      </c>
      <c r="O91" s="36">
        <f t="shared" si="3"/>
        <v>0</v>
      </c>
    </row>
    <row r="92" spans="1:15" customFormat="1" ht="19.5" customHeight="1" x14ac:dyDescent="0.25">
      <c r="A92" s="116" t="s">
        <v>391</v>
      </c>
      <c r="B92" s="609" t="s">
        <v>392</v>
      </c>
      <c r="C92" s="609"/>
      <c r="D92" s="609"/>
      <c r="E92" s="609" t="s">
        <v>393</v>
      </c>
      <c r="F92" s="609"/>
      <c r="G92" s="100" t="s">
        <v>197</v>
      </c>
      <c r="H92" s="101" t="str">
        <f>IF(OR(Table_6_UK!K65=0,Table_6_UK!K65&gt;Table_6_UK!K63),"PASS","FAIL")</f>
        <v>PASS</v>
      </c>
      <c r="I92" s="67" t="str">
        <f>Table_6_UK!K63&amp;", "&amp;Table_6_UK!K65</f>
        <v>0, 17548</v>
      </c>
      <c r="N92" s="36">
        <f t="shared" si="4"/>
        <v>0</v>
      </c>
      <c r="O92" s="36">
        <f t="shared" si="3"/>
        <v>0</v>
      </c>
    </row>
    <row r="93" spans="1:15" s="52" customFormat="1" ht="45.75" customHeight="1" x14ac:dyDescent="0.2">
      <c r="A93" s="116" t="s">
        <v>394</v>
      </c>
      <c r="B93" s="609" t="s">
        <v>395</v>
      </c>
      <c r="C93" s="609"/>
      <c r="D93" s="609"/>
      <c r="E93" s="609" t="s">
        <v>396</v>
      </c>
      <c r="F93" s="609"/>
      <c r="G93" s="115" t="s">
        <v>197</v>
      </c>
      <c r="H93" s="117" t="str">
        <f>IF(AND(B4="S",Table_6_UK!H27+Table_6_UK!H28+Table_6_UK!H29+Table_6_UK!H31=0),"FAIL","PASS")</f>
        <v>PASS</v>
      </c>
      <c r="I93" s="118">
        <f>SUM(Table_6_UK!H27+Table_6_UK!H28+Table_6_UK!H29+Table_6_UK!H31)</f>
        <v>67032</v>
      </c>
      <c r="J93" s="54"/>
      <c r="K93" s="119"/>
      <c r="L93" s="54"/>
      <c r="M93" s="54"/>
      <c r="N93" s="120">
        <f t="shared" si="4"/>
        <v>0</v>
      </c>
      <c r="O93" s="120">
        <f t="shared" si="3"/>
        <v>0</v>
      </c>
    </row>
    <row r="94" spans="1:15" customFormat="1" ht="38.25" customHeight="1" x14ac:dyDescent="0.25">
      <c r="A94" s="116" t="s">
        <v>397</v>
      </c>
      <c r="B94" s="609" t="s">
        <v>398</v>
      </c>
      <c r="C94" s="609"/>
      <c r="D94" s="609"/>
      <c r="E94" s="609" t="s">
        <v>396</v>
      </c>
      <c r="F94" s="609"/>
      <c r="G94" s="115" t="s">
        <v>197</v>
      </c>
      <c r="H94" s="101" t="str">
        <f>IF(AND(B4="W",Table_6_UK!H27+Table_6_UK!H28+Table_6_UK!H29+Table_6_UK!H31=0),"FAIL","PASS")</f>
        <v>PASS</v>
      </c>
      <c r="I94" s="118">
        <f>SUM(Table_6_UK!H27+Table_6_UK!H28+Table_6_UK!H29+Table_6_UK!H31)</f>
        <v>67032</v>
      </c>
      <c r="K94" s="99"/>
      <c r="N94" s="36">
        <f t="shared" si="4"/>
        <v>0</v>
      </c>
      <c r="O94" s="36">
        <f t="shared" si="3"/>
        <v>0</v>
      </c>
    </row>
    <row r="95" spans="1:15" customFormat="1" ht="33.75" customHeight="1" x14ac:dyDescent="0.25">
      <c r="A95" s="116" t="s">
        <v>399</v>
      </c>
      <c r="B95" s="609" t="s">
        <v>400</v>
      </c>
      <c r="C95" s="609"/>
      <c r="D95" s="609"/>
      <c r="E95" s="609" t="s">
        <v>396</v>
      </c>
      <c r="F95" s="609"/>
      <c r="G95" s="115" t="s">
        <v>197</v>
      </c>
      <c r="H95" s="101" t="str">
        <f>IF(AND(B4="N",Table_6_UK!H27+Table_6_UK!H28+Table_6_UK!H29+Table_6_UK!H31=0),"FAIL","PASS")</f>
        <v>PASS</v>
      </c>
      <c r="I95" s="118">
        <f>SUM(Table_6_UK!H27+Table_6_UK!H28+Table_6_UK!H29+Table_6_UK!H31)</f>
        <v>67032</v>
      </c>
      <c r="J95" s="68"/>
      <c r="K95" s="99"/>
      <c r="N95" s="36">
        <f t="shared" si="4"/>
        <v>0</v>
      </c>
      <c r="O95" s="36">
        <f t="shared" si="3"/>
        <v>0</v>
      </c>
    </row>
    <row r="96" spans="1:15" customFormat="1" ht="22.35" customHeight="1" x14ac:dyDescent="0.25">
      <c r="A96" s="116" t="s">
        <v>401</v>
      </c>
      <c r="B96" s="609" t="s">
        <v>402</v>
      </c>
      <c r="C96" s="609"/>
      <c r="D96" s="609"/>
      <c r="E96" s="609" t="s">
        <v>403</v>
      </c>
      <c r="F96" s="609"/>
      <c r="G96" s="115" t="s">
        <v>204</v>
      </c>
      <c r="H96" s="101" t="str">
        <f>IF(Table_6_UK!K44&lt;=0,"FAIL","PASS")</f>
        <v>PASS</v>
      </c>
      <c r="I96" s="118">
        <f>Table_6_UK!K44</f>
        <v>17547</v>
      </c>
      <c r="J96" s="68"/>
      <c r="K96" s="99"/>
      <c r="N96" s="36">
        <f t="shared" si="4"/>
        <v>0</v>
      </c>
      <c r="O96" s="36">
        <f t="shared" si="3"/>
        <v>0</v>
      </c>
    </row>
    <row r="97" spans="1:15" customFormat="1" ht="22.35" customHeight="1" x14ac:dyDescent="0.25">
      <c r="A97" s="116" t="s">
        <v>404</v>
      </c>
      <c r="B97" s="609" t="s">
        <v>405</v>
      </c>
      <c r="C97" s="609"/>
      <c r="D97" s="609"/>
      <c r="E97" s="609" t="s">
        <v>406</v>
      </c>
      <c r="F97" s="609"/>
      <c r="G97" s="115" t="s">
        <v>204</v>
      </c>
      <c r="H97" s="101" t="str">
        <f>IF(Table_6_UK!K56&lt;=0,"FAIL","PASS")</f>
        <v>PASS</v>
      </c>
      <c r="I97" s="118">
        <f>Table_6_UK!K56</f>
        <v>198500</v>
      </c>
      <c r="J97" s="68"/>
      <c r="K97" s="99"/>
      <c r="N97" s="36">
        <f t="shared" si="4"/>
        <v>0</v>
      </c>
      <c r="O97" s="36">
        <f t="shared" si="3"/>
        <v>0</v>
      </c>
    </row>
    <row r="98" spans="1:15" customFormat="1" ht="44.25" customHeight="1" x14ac:dyDescent="0.25">
      <c r="A98" s="116" t="s">
        <v>407</v>
      </c>
      <c r="B98" s="609" t="s">
        <v>408</v>
      </c>
      <c r="C98" s="609"/>
      <c r="D98" s="609"/>
      <c r="E98" s="609" t="s">
        <v>409</v>
      </c>
      <c r="F98" s="609"/>
      <c r="G98" s="115" t="s">
        <v>204</v>
      </c>
      <c r="H98" s="101" t="str">
        <f>IF(AND(Table_6_UK!T8&gt;19, Table_6_UK!T8&lt;25),"FAIL","PASS")</f>
        <v>PASS</v>
      </c>
      <c r="I98" s="67" t="str">
        <f>Table_6_UK!K27&amp;", "&amp;Table_6_UK!K28&amp;", "&amp;Table_6_UK!K29&amp;", "&amp;Table_6_UK!K30&amp;", "&amp;Table_6_UK!K31&amp;", "&amp;Table_6_UK!K32&amp;", "&amp;Table_6_UK!K33&amp;", "&amp;Table_6_UK!K37&amp;", "&amp;Table_6_UK!K38&amp;", "&amp;Table_6_UK!K39&amp;", "&amp;Table_6_UK!K40&amp;", "&amp;Table_6_UK!K41&amp;", "&amp;Table_6_UK!K42&amp;", "&amp;Table_6_UK!K43&amp;", "&amp;Table_6_UK!K49&amp;", "&amp;Table_6_UK!K50&amp;", "&amp;Table_6_UK!K51&amp;", "&amp;Table_6_UK!K52&amp;", "&amp;Table_6_UK!K53&amp;", "&amp;Table_6_UK!K54&amp;", "&amp;Table_6_UK!K55&amp;", "&amp;Table_6_UK!K60&amp;", "&amp;Table_6_UK!K61&amp;", "&amp;Table_6_UK!K63&amp;", "&amp;Table_6_UK!K64</f>
        <v>81965, 0, 8080, 4809, 336, 10982, 783, 5055, 0, 8687, 3148, 9, 506, 142, 96056, 0, 75259, 19310, 7104, 501, 270, 6300, 0, 0, 17548</v>
      </c>
      <c r="J98" s="68"/>
      <c r="K98" s="99"/>
      <c r="N98" s="36">
        <f t="shared" si="4"/>
        <v>0</v>
      </c>
      <c r="O98" s="36">
        <f t="shared" si="3"/>
        <v>0</v>
      </c>
    </row>
    <row r="99" spans="1:15" customFormat="1" ht="22.35" customHeight="1" x14ac:dyDescent="0.25">
      <c r="A99" s="116" t="s">
        <v>410</v>
      </c>
      <c r="B99" s="609" t="s">
        <v>411</v>
      </c>
      <c r="C99" s="609"/>
      <c r="D99" s="609"/>
      <c r="E99" s="609" t="s">
        <v>412</v>
      </c>
      <c r="F99" s="609"/>
      <c r="G99" s="115" t="s">
        <v>197</v>
      </c>
      <c r="H99" s="101" t="str">
        <f>IF(Table_6_UK!O67&lt;&gt;Table_1_UK!I6,"FAIL","PASS")</f>
        <v>PASS</v>
      </c>
      <c r="I99" s="118" t="str">
        <f>Table_6_UK!O67&amp;", "&amp;Table_1_UK!I6</f>
        <v>312015, 312015</v>
      </c>
      <c r="J99" s="68"/>
      <c r="K99" s="99"/>
      <c r="N99" s="36">
        <f t="shared" si="4"/>
        <v>0</v>
      </c>
      <c r="O99" s="36">
        <f t="shared" si="3"/>
        <v>0</v>
      </c>
    </row>
    <row r="100" spans="1:15" customFormat="1" ht="72.400000000000006" customHeight="1" x14ac:dyDescent="0.25">
      <c r="A100" s="116" t="s">
        <v>413</v>
      </c>
      <c r="B100" s="609" t="s">
        <v>414</v>
      </c>
      <c r="C100" s="609"/>
      <c r="D100" s="609"/>
      <c r="E100" s="609" t="s">
        <v>415</v>
      </c>
      <c r="F100" s="609"/>
      <c r="G100" s="101" t="s">
        <v>204</v>
      </c>
      <c r="H100" s="117" t="str">
        <f>IF(OR(AND(Table_6_UK!U9&gt;750,Table_6_UK!V9&gt;2),AND(Table_6_UK!U9&lt;-750,Table_6_UK!V9&gt;2),AND(Table_6_UK!U10&gt;750,Table_6_UK!V10&gt;2),AND(Table_6_UK!U10&lt;-750,Table_6_UK!V10&gt;2),AND(Table_6_UK!U11&gt;750,Table_6_UK!V11&gt;2),AND(Table_6_UK!U11&lt;-750,Table_6_UK!V11&gt;2),AND(Table_6_UK!U12&gt;750,Table_6_UK!V12&gt;2),AND(Table_6_UK!U12&lt;-750,Table_6_UK!V12&gt;2),AND(Table_6_UK!U13&gt;750,Table_6_UK!V13&gt;2),AND(Table_6_UK!U13&lt;-750,Table_6_UK!V13&gt;2),AND(Table_6_UK!U14&gt;750,Table_6_UK!V14&gt;2),AND(Table_6_UK!U14&lt;-750,Table_6_UK!V14&gt;2),AND(Table_6_UK!U15&gt;750,Table_6_UK!V15&gt;2),AND(Table_6_UK!U15&lt;-750,Table_6_UK!V15&gt;2),AND(Table_6_UK!U18&gt;750,Table_6_UK!V18&gt;2),AND(Table_6_UK!U18&lt;-750,Table_6_UK!V18&gt;2),AND(Table_6_UK!U19&gt;750,Table_6_UK!V19&gt;2),AND(Table_6_UK!U19&lt;-750,Table_6_UK!V19&gt;2),AND(Table_6_UK!U20&gt;750,Table_6_UK!V20&gt;2),AND(Table_6_UK!U20&lt;-750,Table_6_UK!V20&gt;2),AND(Table_6_UK!U21&gt;750,Table_6_UK!V21&gt;2),AND(Table_6_UK!U21&lt;-750,Table_6_UK!V21&gt;2),AND(Table_6_UK!U22&gt;750,Table_6_UK!V22&gt;2),AND(Table_6_UK!U22&lt;-750,Table_6_UK!V22&gt;2),AND(Table_6_UK!U23&gt;750,Table_6_UK!V23&gt;2),AND(Table_6_UK!U23&lt;-750,Table_6_UK!V23&gt;2),AND(Table_6_UK!U24&gt;750,Table_6_UK!V24&gt;2),AND(Table_6_UK!U24&lt;-750,Table_6_UK!V24&gt;2),AND(Table_6_UK!U37&gt;750,Table_6_UK!V37&gt;2),AND(Table_6_UK!U37&lt;-750,Table_6_UK!V37&gt;2),AND(Table_6_UK!U38&gt;750,Table_6_UK!V38&gt;2),AND(Table_6_UK!U38&lt;-750,Table_6_UK!V38&gt;2),AND(Table_6_UK!U39&gt;750,Table_6_UK!V39&gt;2),AND(Table_6_UK!U39&lt;-750,Table_6_UK!V39&gt;2),AND(Table_6_UK!U40&gt;750,Table_6_UK!V40&gt;2),AND(Table_6_UK!U40&lt;-750,Table_6_UK!V40&gt;2),AND(Table_6_UK!U41&gt;750,Table_6_UK!V41&gt;2),AND(Table_6_UK!U41&lt;-750,Table_6_UK!V41&gt;2),AND(Table_6_UK!U42&gt;750,Table_6_UK!V42&gt;2),AND(Table_6_UK!U42&lt;-750,Table_6_UK!V42&gt;2),AND(Table_6_UK!U43&gt;750,Table_6_UK!V43&gt;2),AND(Table_6_UK!U43&lt;-750,Table_6_UK!V43&gt;2),AND(Table_6_UK!U49&gt;750,Table_6_UK!V49&gt;2),AND(Table_6_UK!U49&lt;-750,Table_6_UK!V49&gt;2),AND(Table_6_UK!U50&gt;750,Table_6_UK!V50&gt;2),AND(Table_6_UK!U50&lt;-750,Table_6_UK!V50&gt;2),AND(Table_6_UK!U51&gt;750,Table_6_UK!V51&gt;2),AND(Table_6_UK!U51&lt;-750,Table_6_UK!V51&gt;2),AND(Table_6_UK!U52&gt;750,Table_6_UK!V52&gt;2),AND(Table_6_UK!U52&lt;-750,Table_6_UK!V52&gt;2),AND(Table_6_UK!U53&gt;750,Table_6_UK!V53&gt;2),AND(Table_6_UK!U53&lt;-750,Table_6_UK!V53&gt;2),AND(Table_6_UK!U54&gt;750,Table_6_UK!V54&gt;2),AND(Table_6_UK!U54&lt;-750,Table_6_UK!V54&gt;2),AND(Table_6_UK!U55&gt;750,Table_6_UK!V55&gt;2),AND(Table_6_UK!U55&lt;-750,Table_6_UK!V55&gt;2),AND(Table_6_UK!U60&gt;750,Table_6_UK!V60&gt;2),AND(Table_6_UK!U60&lt;-750,Table_6_UK!V60&gt;2),AND(Table_6_UK!U61&gt;750,Table_6_UK!V61&gt;2),AND(Table_6_UK!U61&lt;-750,Table_6_UK!V61&gt;2),AND(Table_6_UK!U63&gt;750,Table_6_UK!V63&gt;2),AND(Table_6_UK!U63&lt;-750,Table_6_UK!V63&gt;2),AND(Table_6_UK!U64&gt;750,Table_6_UK!V64&gt;2),AND(Table_6_UK!U64&lt;-750,Table_6_UK!V64&gt;2)),"FAIL","PASS")</f>
        <v>FAIL</v>
      </c>
      <c r="I100" s="118" t="str">
        <f>Table_6_UK!K9&amp;", "&amp;Table_6_UK!K10&amp;", "&amp;Table_6_UK!K11&amp;", "&amp;Table_6_UK!K12&amp;", "&amp;Table_6_UK!K13&amp;", "&amp;Table_6_UK!K14&amp;", "&amp;Table_6_UK!K15&amp;", "&amp;Table_6_UK!K18&amp;", "&amp;Table_6_UK!K19&amp;", "&amp;Table_6_UK!K20&amp;", "&amp;Table_6_UK!K21&amp;", "&amp;Table_6_UK!K22&amp;", "&amp;Table_6_UK!K23&amp;", "&amp;Table_6_UK!K24&amp;", "&amp;Table_6_UK!K37&amp;", "&amp;Table_6_UK!K38&amp;", "&amp;Table_6_UK!K39&amp;", "&amp;Table_6_UK!K40&amp;", "&amp;Table_6_UK!K41&amp;", "&amp;Table_6_UK!K42&amp;", "&amp;Table_6_UK!K43&amp;", "&amp;Table_6_UK!K49&amp;", "&amp;Table_6_UK!K50&amp;", "&amp;Table_6_UK!K51&amp;", "&amp;Table_6_UK!K52&amp;", "&amp;Table_6_UK!K53&amp;", "&amp;Table_6_UK!K54&amp;", "&amp;Table_6_UK!K55&amp;", "&amp;Table_6_UK!K60&amp;", "&amp;Table_6_UK!K61&amp;", "&amp;Table_6_UK!K63&amp;", "&amp;Table_6_UK!K64</f>
        <v>16948, 0, 8080, 4809, 336, 10982, 783, 65017, 0, 0, 0, 0, 0, 0, 5055, 0, 8687, 3148, 9, 506, 142, 96056, 0, 75259, 19310, 7104, 501, 270, 6300, 0, 0, 17548</v>
      </c>
      <c r="K100" s="105"/>
      <c r="N100" s="36">
        <f t="shared" si="4"/>
        <v>0</v>
      </c>
      <c r="O100" s="36">
        <f t="shared" si="3"/>
        <v>1</v>
      </c>
    </row>
    <row r="101" spans="1:15" customFormat="1" ht="35.25" customHeight="1" x14ac:dyDescent="0.25">
      <c r="A101" s="116" t="s">
        <v>416</v>
      </c>
      <c r="B101" s="609" t="s">
        <v>417</v>
      </c>
      <c r="C101" s="609"/>
      <c r="D101" s="609"/>
      <c r="E101" s="609" t="s">
        <v>418</v>
      </c>
      <c r="F101" s="609"/>
      <c r="G101" s="101" t="s">
        <v>197</v>
      </c>
      <c r="H101" s="101" t="str">
        <f>IF(AND(Table_7_UK!H6&gt;0,(Table_7_UK!H6&lt;&gt;Table_1_UK!H6)),"FAIL","PASS")</f>
        <v>PASS</v>
      </c>
      <c r="I101" s="67" t="str">
        <f>Table_7_UK!H6&amp;", "&amp;Table_1_UK!H6</f>
        <v>346850, 346850</v>
      </c>
      <c r="J101" s="68"/>
      <c r="K101" s="99"/>
      <c r="N101" s="36">
        <f t="shared" si="4"/>
        <v>0</v>
      </c>
      <c r="O101" s="36">
        <f t="shared" si="3"/>
        <v>0</v>
      </c>
    </row>
    <row r="102" spans="1:15" customFormat="1" ht="16.5" customHeight="1" x14ac:dyDescent="0.25">
      <c r="A102" s="116" t="s">
        <v>419</v>
      </c>
      <c r="B102" s="609" t="s">
        <v>420</v>
      </c>
      <c r="C102" s="609"/>
      <c r="D102" s="609"/>
      <c r="E102" s="609" t="s">
        <v>421</v>
      </c>
      <c r="F102" s="609"/>
      <c r="G102" s="101" t="s">
        <v>197</v>
      </c>
      <c r="H102" s="101" t="str">
        <f>IF(AND(Table_7_UK!H53&gt;0,(Table_7_UK!H53&lt;&gt;Table_1_UK!H9)),"FAIL","PASS")</f>
        <v>PASS</v>
      </c>
      <c r="I102" s="67" t="str">
        <f>Table_7_UK!H53&amp;", "&amp;Table_1_UK!H9</f>
        <v>234018, 234018</v>
      </c>
      <c r="J102" s="68"/>
      <c r="K102" s="99"/>
      <c r="N102" s="36">
        <f t="shared" si="4"/>
        <v>0</v>
      </c>
      <c r="O102" s="36">
        <f t="shared" si="3"/>
        <v>0</v>
      </c>
    </row>
    <row r="103" spans="1:15" customFormat="1" ht="16.5" customHeight="1" x14ac:dyDescent="0.25">
      <c r="A103" s="116" t="s">
        <v>422</v>
      </c>
      <c r="B103" s="609" t="s">
        <v>423</v>
      </c>
      <c r="C103" s="609"/>
      <c r="D103" s="609"/>
      <c r="E103" s="609" t="s">
        <v>424</v>
      </c>
      <c r="F103" s="609"/>
      <c r="G103" s="101" t="s">
        <v>197</v>
      </c>
      <c r="H103" s="101" t="str">
        <f>IF(AND(Table_7_UK!H55&gt;0,(Table_7_UK!H55&lt;&gt;Table_1_UK!H10)),"FAIL","PASS")</f>
        <v>PASS</v>
      </c>
      <c r="I103" s="67" t="str">
        <f>Table_7_UK!H55&amp;", "&amp;Table_1_UK!H10</f>
        <v>17413, 17413</v>
      </c>
      <c r="J103" s="68"/>
      <c r="K103" s="99"/>
      <c r="N103" s="36">
        <f t="shared" si="4"/>
        <v>0</v>
      </c>
      <c r="O103" s="36">
        <f t="shared" si="3"/>
        <v>0</v>
      </c>
    </row>
    <row r="104" spans="1:15" customFormat="1" ht="21.4" customHeight="1" x14ac:dyDescent="0.25">
      <c r="A104" s="116" t="s">
        <v>425</v>
      </c>
      <c r="B104" s="609" t="s">
        <v>426</v>
      </c>
      <c r="C104" s="609"/>
      <c r="D104" s="609"/>
      <c r="E104" s="609" t="s">
        <v>427</v>
      </c>
      <c r="F104" s="609"/>
      <c r="G104" s="101" t="s">
        <v>197</v>
      </c>
      <c r="H104" s="101" t="str">
        <f>IF(AND(Table_7_UK!H63&gt;0,(Table_7_UK!H63&lt;&gt;Table_1_UK!H11)),"FAIL","PASS")</f>
        <v>PASS</v>
      </c>
      <c r="I104" s="67" t="str">
        <f>Table_7_UK!H63&amp;", "&amp;Table_1_UK!H11</f>
        <v>21750, 21750</v>
      </c>
      <c r="J104" s="68"/>
      <c r="K104" s="99"/>
      <c r="N104" s="36">
        <f t="shared" si="4"/>
        <v>0</v>
      </c>
      <c r="O104" s="36">
        <f t="shared" si="3"/>
        <v>0</v>
      </c>
    </row>
    <row r="105" spans="1:15" customFormat="1" ht="18.399999999999999" customHeight="1" x14ac:dyDescent="0.25">
      <c r="A105" s="116" t="s">
        <v>428</v>
      </c>
      <c r="B105" s="609" t="s">
        <v>429</v>
      </c>
      <c r="C105" s="609"/>
      <c r="D105" s="609"/>
      <c r="E105" s="609" t="s">
        <v>418</v>
      </c>
      <c r="F105" s="609"/>
      <c r="G105" s="101" t="s">
        <v>204</v>
      </c>
      <c r="H105" s="101" t="str">
        <f>IF(Table_7_UK!H6&lt;&gt;Table_1_UK!H6,"FAIL","PASS")</f>
        <v>PASS</v>
      </c>
      <c r="I105" s="67" t="str">
        <f>Table_7_UK!H6&amp;", "&amp;Table_1_UK!H6</f>
        <v>346850, 346850</v>
      </c>
      <c r="J105" s="68"/>
      <c r="K105" s="99"/>
      <c r="N105" s="36">
        <f t="shared" si="4"/>
        <v>0</v>
      </c>
      <c r="O105" s="36">
        <f t="shared" si="3"/>
        <v>0</v>
      </c>
    </row>
    <row r="106" spans="1:15" customFormat="1" ht="16.5" customHeight="1" x14ac:dyDescent="0.25">
      <c r="A106" s="116" t="s">
        <v>430</v>
      </c>
      <c r="B106" s="609" t="s">
        <v>431</v>
      </c>
      <c r="C106" s="609"/>
      <c r="D106" s="609"/>
      <c r="E106" s="609" t="s">
        <v>421</v>
      </c>
      <c r="F106" s="609"/>
      <c r="G106" s="101" t="s">
        <v>204</v>
      </c>
      <c r="H106" s="101" t="str">
        <f>IF(Table_7_UK!H53&lt;&gt;Table_1_UK!H9,"FAIL","PASS")</f>
        <v>PASS</v>
      </c>
      <c r="I106" s="67" t="str">
        <f>Table_7_UK!H53&amp;", "&amp;Table_1_UK!H9</f>
        <v>234018, 234018</v>
      </c>
      <c r="J106" s="68"/>
      <c r="K106" s="99"/>
      <c r="N106" s="36">
        <f t="shared" si="4"/>
        <v>0</v>
      </c>
      <c r="O106" s="36">
        <f t="shared" si="3"/>
        <v>0</v>
      </c>
    </row>
    <row r="107" spans="1:15" customFormat="1" ht="16.5" customHeight="1" x14ac:dyDescent="0.25">
      <c r="A107" s="116" t="s">
        <v>432</v>
      </c>
      <c r="B107" s="609" t="s">
        <v>433</v>
      </c>
      <c r="C107" s="609"/>
      <c r="D107" s="609"/>
      <c r="E107" s="609" t="s">
        <v>424</v>
      </c>
      <c r="F107" s="609"/>
      <c r="G107" s="101" t="s">
        <v>204</v>
      </c>
      <c r="H107" s="101" t="str">
        <f>IF(Table_7_UK!H55&lt;&gt;Table_1_UK!H10,"FAIL","PASS")</f>
        <v>PASS</v>
      </c>
      <c r="I107" s="67" t="str">
        <f>Table_7_UK!H55&amp;", "&amp;Table_1_UK!H10</f>
        <v>17413, 17413</v>
      </c>
      <c r="J107" s="68"/>
      <c r="K107" s="99"/>
      <c r="N107" s="36">
        <f t="shared" si="4"/>
        <v>0</v>
      </c>
      <c r="O107" s="36">
        <f t="shared" si="3"/>
        <v>0</v>
      </c>
    </row>
    <row r="108" spans="1:15" customFormat="1" ht="16.5" customHeight="1" x14ac:dyDescent="0.25">
      <c r="A108" s="116" t="s">
        <v>434</v>
      </c>
      <c r="B108" s="609" t="s">
        <v>435</v>
      </c>
      <c r="C108" s="609"/>
      <c r="D108" s="609"/>
      <c r="E108" s="609" t="s">
        <v>427</v>
      </c>
      <c r="F108" s="609"/>
      <c r="G108" s="101" t="s">
        <v>204</v>
      </c>
      <c r="H108" s="101" t="str">
        <f>IF(Table_7_UK!H63&lt;&gt;Table_1_UK!H11,"FAIL","PASS")</f>
        <v>PASS</v>
      </c>
      <c r="I108" s="67" t="str">
        <f>Table_7_UK!H63&amp;", "&amp;Table_1_UK!H11</f>
        <v>21750, 21750</v>
      </c>
      <c r="J108" s="68"/>
      <c r="K108" s="99"/>
      <c r="N108" s="36">
        <f t="shared" si="4"/>
        <v>0</v>
      </c>
      <c r="O108" s="36">
        <f t="shared" si="3"/>
        <v>0</v>
      </c>
    </row>
    <row r="109" spans="1:15" customFormat="1" ht="18.399999999999999" customHeight="1" x14ac:dyDescent="0.25">
      <c r="A109" s="116" t="s">
        <v>436</v>
      </c>
      <c r="B109" s="609" t="s">
        <v>437</v>
      </c>
      <c r="C109" s="609"/>
      <c r="D109" s="609"/>
      <c r="E109" s="609" t="s">
        <v>418</v>
      </c>
      <c r="F109" s="609"/>
      <c r="G109" s="101" t="s">
        <v>197</v>
      </c>
      <c r="H109" s="101" t="str">
        <f>IF(AND(Table_1_UK!H6=0,Table_7_UK!H6=0),"PASS",IF(AND(Table_7_UK!H6&gt;0,Table_1_UK!H6=0),"FAIL","PASS"))</f>
        <v>PASS</v>
      </c>
      <c r="I109" s="67" t="str">
        <f>Table_7_UK!H6&amp;", "&amp;Table_1_UK!H6</f>
        <v>346850, 346850</v>
      </c>
      <c r="J109" s="68"/>
      <c r="K109" s="99"/>
      <c r="N109" s="36">
        <f t="shared" si="4"/>
        <v>0</v>
      </c>
      <c r="O109" s="36">
        <f t="shared" ref="O109:O140" si="5">IF(AND(G109="Warning",H109="FAIL"),1,0)</f>
        <v>0</v>
      </c>
    </row>
    <row r="110" spans="1:15" customFormat="1" ht="16.5" customHeight="1" x14ac:dyDescent="0.25">
      <c r="A110" s="116" t="s">
        <v>438</v>
      </c>
      <c r="B110" s="609" t="s">
        <v>439</v>
      </c>
      <c r="C110" s="609"/>
      <c r="D110" s="609"/>
      <c r="E110" s="609" t="s">
        <v>421</v>
      </c>
      <c r="F110" s="609"/>
      <c r="G110" s="101" t="s">
        <v>197</v>
      </c>
      <c r="H110" s="101" t="str">
        <f>IF(AND(Table_1_UK!H9=0,Table_7_UK!H53=0),"PASS",IF(AND(Table_7_UK!H53&gt;0,Table_1_UK!H9=0),"FAIL","PASS"))</f>
        <v>PASS</v>
      </c>
      <c r="I110" s="67" t="str">
        <f>Table_7_UK!H53&amp;", "&amp;Table_1_UK!H9</f>
        <v>234018, 234018</v>
      </c>
      <c r="J110" s="68"/>
      <c r="K110" s="99"/>
      <c r="N110" s="36">
        <f t="shared" si="4"/>
        <v>0</v>
      </c>
      <c r="O110" s="36">
        <f t="shared" si="5"/>
        <v>0</v>
      </c>
    </row>
    <row r="111" spans="1:15" customFormat="1" ht="16.5" customHeight="1" x14ac:dyDescent="0.25">
      <c r="A111" s="116" t="s">
        <v>440</v>
      </c>
      <c r="B111" s="609" t="s">
        <v>441</v>
      </c>
      <c r="C111" s="609"/>
      <c r="D111" s="609"/>
      <c r="E111" s="609" t="s">
        <v>424</v>
      </c>
      <c r="F111" s="609"/>
      <c r="G111" s="101" t="s">
        <v>197</v>
      </c>
      <c r="H111" s="101" t="str">
        <f>IF(AND(Table_1_UK!H10=0,Table_7_UK!H55=0),"PASS",IF(AND(Table_7_UK!H55&gt;0,Table_1_UK!H10=0),"FAIL","PASS"))</f>
        <v>PASS</v>
      </c>
      <c r="I111" s="67" t="str">
        <f>Table_7_UK!H55&amp;", "&amp;Table_1_UK!H10</f>
        <v>17413, 17413</v>
      </c>
      <c r="J111" s="68"/>
      <c r="K111" s="99"/>
      <c r="N111" s="36">
        <f t="shared" si="4"/>
        <v>0</v>
      </c>
      <c r="O111" s="36">
        <f t="shared" si="5"/>
        <v>0</v>
      </c>
    </row>
    <row r="112" spans="1:15" customFormat="1" ht="18" customHeight="1" x14ac:dyDescent="0.25">
      <c r="A112" s="116" t="s">
        <v>442</v>
      </c>
      <c r="B112" s="609" t="s">
        <v>443</v>
      </c>
      <c r="C112" s="609"/>
      <c r="D112" s="609"/>
      <c r="E112" s="609" t="s">
        <v>427</v>
      </c>
      <c r="F112" s="609"/>
      <c r="G112" s="101" t="s">
        <v>197</v>
      </c>
      <c r="H112" s="101" t="str">
        <f>IF(AND(Table_1_UK!H11=0,Table_7_UK!H63=0),"PASS",IF(AND(Table_7_UK!H63&gt;0,Table_1_UK!H11=0),"FAIL","PASS"))</f>
        <v>PASS</v>
      </c>
      <c r="I112" s="67" t="str">
        <f>Table_7_UK!H63&amp;", "&amp;Table_1_UK!H11</f>
        <v>21750, 21750</v>
      </c>
      <c r="J112" s="68"/>
      <c r="K112" s="99"/>
      <c r="N112" s="36">
        <f t="shared" si="4"/>
        <v>0</v>
      </c>
      <c r="O112" s="36">
        <f t="shared" si="5"/>
        <v>0</v>
      </c>
    </row>
    <row r="113" spans="1:15" customFormat="1" ht="16.5" customHeight="1" x14ac:dyDescent="0.25">
      <c r="A113" s="116" t="s">
        <v>444</v>
      </c>
      <c r="B113" s="609" t="s">
        <v>445</v>
      </c>
      <c r="C113" s="609"/>
      <c r="D113" s="609"/>
      <c r="E113" s="609" t="s">
        <v>446</v>
      </c>
      <c r="F113" s="609"/>
      <c r="G113" s="101" t="s">
        <v>197</v>
      </c>
      <c r="H113" s="101" t="str">
        <f>IF(AND(Table_7_UK!H8&gt;0,(Table_7_UK!H8&lt;&gt;Table_1_UK!H7)),"FAIL","PASS")</f>
        <v>PASS</v>
      </c>
      <c r="I113" s="67" t="str">
        <f>Table_7_UK!H8&amp;", "&amp;Table_1_UK!H7</f>
        <v>195819, 195819</v>
      </c>
      <c r="J113" s="68"/>
      <c r="K113" s="99"/>
      <c r="N113" s="36">
        <f t="shared" si="4"/>
        <v>0</v>
      </c>
      <c r="O113" s="36">
        <f t="shared" si="5"/>
        <v>0</v>
      </c>
    </row>
    <row r="114" spans="1:15" customFormat="1" ht="19.7" customHeight="1" x14ac:dyDescent="0.25">
      <c r="A114" s="116" t="s">
        <v>447</v>
      </c>
      <c r="B114" s="609" t="s">
        <v>448</v>
      </c>
      <c r="C114" s="609"/>
      <c r="D114" s="609"/>
      <c r="E114" s="609" t="s">
        <v>449</v>
      </c>
      <c r="F114" s="609"/>
      <c r="G114" s="101" t="s">
        <v>197</v>
      </c>
      <c r="H114" s="101" t="str">
        <f>IF(AND(Table_7_UK!H35&gt;0,(Table_7_UK!H35&lt;&gt;Table_1_UK!H8)),"FAIL","PASS")</f>
        <v>PASS</v>
      </c>
      <c r="I114" s="67" t="str">
        <f>Table_7_UK!H35&amp;", "&amp;Table_1_UK!H8</f>
        <v>285654, 285654</v>
      </c>
      <c r="J114" s="68"/>
      <c r="K114" s="99"/>
      <c r="N114" s="36">
        <f t="shared" si="4"/>
        <v>0</v>
      </c>
      <c r="O114" s="36">
        <f t="shared" si="5"/>
        <v>0</v>
      </c>
    </row>
    <row r="115" spans="1:15" customFormat="1" ht="16.5" customHeight="1" x14ac:dyDescent="0.25">
      <c r="A115" s="116" t="s">
        <v>450</v>
      </c>
      <c r="B115" s="609" t="s">
        <v>451</v>
      </c>
      <c r="C115" s="609"/>
      <c r="D115" s="609"/>
      <c r="E115" s="609" t="s">
        <v>446</v>
      </c>
      <c r="F115" s="609"/>
      <c r="G115" s="101" t="s">
        <v>204</v>
      </c>
      <c r="H115" s="101" t="str">
        <f>IF(Table_7_UK!H8&lt;&gt;Table_1_UK!H7,"FAIL","PASS")</f>
        <v>PASS</v>
      </c>
      <c r="I115" s="67" t="str">
        <f>Table_7_UK!H8&amp;", "&amp;Table_1_UK!H7</f>
        <v>195819, 195819</v>
      </c>
      <c r="J115" s="68"/>
      <c r="K115" s="99"/>
      <c r="N115" s="36">
        <f t="shared" si="4"/>
        <v>0</v>
      </c>
      <c r="O115" s="36">
        <f t="shared" si="5"/>
        <v>0</v>
      </c>
    </row>
    <row r="116" spans="1:15" customFormat="1" ht="16.5" customHeight="1" x14ac:dyDescent="0.25">
      <c r="A116" s="116" t="s">
        <v>452</v>
      </c>
      <c r="B116" s="609" t="s">
        <v>453</v>
      </c>
      <c r="C116" s="609"/>
      <c r="D116" s="609"/>
      <c r="E116" s="609" t="s">
        <v>449</v>
      </c>
      <c r="F116" s="609"/>
      <c r="G116" s="101" t="s">
        <v>204</v>
      </c>
      <c r="H116" s="101" t="str">
        <f>IF(Table_7_UK!H35&lt;&gt;Table_1_UK!H8,"FAIL","PASS")</f>
        <v>PASS</v>
      </c>
      <c r="I116" s="67" t="str">
        <f>Table_7_UK!H35&amp;", "&amp;Table_1_UK!H8</f>
        <v>285654, 285654</v>
      </c>
      <c r="J116" s="68"/>
      <c r="K116" s="99"/>
      <c r="N116" s="36">
        <f t="shared" si="4"/>
        <v>0</v>
      </c>
      <c r="O116" s="36">
        <f t="shared" si="5"/>
        <v>0</v>
      </c>
    </row>
    <row r="117" spans="1:15" customFormat="1" ht="16.5" customHeight="1" x14ac:dyDescent="0.25">
      <c r="A117" s="116" t="s">
        <v>454</v>
      </c>
      <c r="B117" s="609" t="s">
        <v>455</v>
      </c>
      <c r="C117" s="609"/>
      <c r="D117" s="609"/>
      <c r="E117" s="609" t="s">
        <v>446</v>
      </c>
      <c r="F117" s="609"/>
      <c r="G117" s="101" t="s">
        <v>197</v>
      </c>
      <c r="H117" s="101" t="str">
        <f>IF(AND(Table_1_UK!H7=0,Table_7_UK!H8=0),"PASS",IF(AND(Table_7_UK!H8&gt;0,Table_1_UK!H7=0),"FAIL","PASS"))</f>
        <v>PASS</v>
      </c>
      <c r="I117" s="67" t="str">
        <f>Table_7_UK!H8&amp;", "&amp;Table_1_UK!H7</f>
        <v>195819, 195819</v>
      </c>
      <c r="J117" s="68"/>
      <c r="K117" s="99"/>
      <c r="N117" s="36">
        <f t="shared" si="4"/>
        <v>0</v>
      </c>
      <c r="O117" s="36">
        <f t="shared" si="5"/>
        <v>0</v>
      </c>
    </row>
    <row r="118" spans="1:15" customFormat="1" ht="16.7" customHeight="1" x14ac:dyDescent="0.25">
      <c r="A118" s="116" t="s">
        <v>456</v>
      </c>
      <c r="B118" s="609" t="s">
        <v>457</v>
      </c>
      <c r="C118" s="609"/>
      <c r="D118" s="609"/>
      <c r="E118" s="609" t="s">
        <v>449</v>
      </c>
      <c r="F118" s="609"/>
      <c r="G118" s="101" t="s">
        <v>197</v>
      </c>
      <c r="H118" s="101" t="str">
        <f>IF(AND(Table_1_UK!H8=0,Table_7_UK!H35=0),"PASS",IF(AND(Table_7_UK!H35&gt;0,Table_1_UK!H8=0),"FAIL","PASS"))</f>
        <v>PASS</v>
      </c>
      <c r="I118" s="67" t="str">
        <f>Table_7_UK!H35&amp;", "&amp;Table_1_UK!H8</f>
        <v>285654, 285654</v>
      </c>
      <c r="J118" s="68"/>
      <c r="K118" s="99"/>
      <c r="N118" s="36">
        <f t="shared" si="4"/>
        <v>0</v>
      </c>
      <c r="O118" s="36">
        <f t="shared" si="5"/>
        <v>0</v>
      </c>
    </row>
    <row r="119" spans="1:15" customFormat="1" ht="16.5" customHeight="1" x14ac:dyDescent="0.25">
      <c r="A119" s="121" t="s">
        <v>458</v>
      </c>
      <c r="B119" s="609" t="s">
        <v>459</v>
      </c>
      <c r="C119" s="609"/>
      <c r="D119" s="609"/>
      <c r="E119" s="609" t="s">
        <v>460</v>
      </c>
      <c r="F119" s="609"/>
      <c r="G119" s="101" t="s">
        <v>197</v>
      </c>
      <c r="H119" s="117" t="str">
        <f>IF(OR(AND(B4="W",Table_7_Wales!H15&gt;=0),AND(OR(B4="S",B4="N"),Table_7_Wales!H15=0)),"PASS","FAIL")</f>
        <v>PASS</v>
      </c>
      <c r="I119" s="53">
        <f>Table_7_Wales!H15</f>
        <v>0</v>
      </c>
      <c r="J119" s="54"/>
      <c r="K119" s="122"/>
      <c r="N119" s="36">
        <f t="shared" si="4"/>
        <v>0</v>
      </c>
      <c r="O119" s="36">
        <f t="shared" si="5"/>
        <v>0</v>
      </c>
    </row>
    <row r="120" spans="1:15" customFormat="1" ht="16.5" customHeight="1" x14ac:dyDescent="0.25">
      <c r="A120" s="121" t="s">
        <v>461</v>
      </c>
      <c r="B120" s="609" t="s">
        <v>462</v>
      </c>
      <c r="C120" s="609"/>
      <c r="D120" s="609"/>
      <c r="E120" s="609" t="s">
        <v>463</v>
      </c>
      <c r="F120" s="609"/>
      <c r="G120" s="101" t="s">
        <v>197</v>
      </c>
      <c r="H120" s="117" t="str">
        <f>IF(OR(AND(B4="S",Table_7_Scotland!H13&gt;=0),AND(OR(B4="W",B4="N"),Table_7_Scotland!H13=0)),"PASS","FAIL")</f>
        <v>PASS</v>
      </c>
      <c r="I120" s="53">
        <f>Table_7_Scotland!H13</f>
        <v>195819</v>
      </c>
      <c r="J120" s="54"/>
      <c r="K120" s="122"/>
      <c r="N120" s="36">
        <f t="shared" si="4"/>
        <v>0</v>
      </c>
      <c r="O120" s="36">
        <f t="shared" si="5"/>
        <v>0</v>
      </c>
    </row>
    <row r="121" spans="1:15" customFormat="1" ht="16.5" customHeight="1" x14ac:dyDescent="0.25">
      <c r="A121" s="121" t="s">
        <v>464</v>
      </c>
      <c r="B121" s="609" t="s">
        <v>465</v>
      </c>
      <c r="C121" s="609"/>
      <c r="D121" s="609"/>
      <c r="E121" s="609" t="s">
        <v>466</v>
      </c>
      <c r="F121" s="609"/>
      <c r="G121" s="101" t="s">
        <v>197</v>
      </c>
      <c r="H121" s="117" t="str">
        <f>IF(OR(AND(B4="N",Table_7_N_Ireland!H10&gt;=0),AND(OR(B4="S",B4="W"),Table_7_N_Ireland!H10=0)),"PASS","FAIL")</f>
        <v>PASS</v>
      </c>
      <c r="I121" s="53">
        <f>Table_7_N_Ireland!H10</f>
        <v>0</v>
      </c>
      <c r="J121" s="54"/>
      <c r="K121" s="122"/>
      <c r="N121" s="36">
        <f t="shared" si="4"/>
        <v>0</v>
      </c>
      <c r="O121" s="36">
        <f t="shared" si="5"/>
        <v>0</v>
      </c>
    </row>
    <row r="122" spans="1:15" customFormat="1" ht="16.5" customHeight="1" x14ac:dyDescent="0.25">
      <c r="A122" s="116" t="s">
        <v>467</v>
      </c>
      <c r="B122" s="609" t="s">
        <v>468</v>
      </c>
      <c r="C122" s="609"/>
      <c r="D122" s="609"/>
      <c r="E122" s="609" t="s">
        <v>469</v>
      </c>
      <c r="F122" s="609"/>
      <c r="G122" s="100" t="s">
        <v>204</v>
      </c>
      <c r="H122" s="101" t="str">
        <f>IF(OR(Table_8_UK!J6=0,Table_8_UK!L6&gt;0),"PASS","FAIL")</f>
        <v>PASS</v>
      </c>
      <c r="I122" s="67" t="str">
        <f>Table_8_UK!J6&amp;", "&amp;Table_8_UK!L6</f>
        <v>63275, 9081</v>
      </c>
      <c r="J122" s="54"/>
      <c r="K122" s="54"/>
      <c r="N122" s="36">
        <f t="shared" si="4"/>
        <v>0</v>
      </c>
      <c r="O122" s="36">
        <f t="shared" si="5"/>
        <v>0</v>
      </c>
    </row>
    <row r="123" spans="1:15" customFormat="1" ht="16.5" customHeight="1" x14ac:dyDescent="0.25">
      <c r="A123" s="116" t="s">
        <v>470</v>
      </c>
      <c r="B123" s="609" t="s">
        <v>471</v>
      </c>
      <c r="C123" s="609"/>
      <c r="D123" s="609"/>
      <c r="E123" s="609" t="s">
        <v>472</v>
      </c>
      <c r="F123" s="609"/>
      <c r="G123" s="100" t="s">
        <v>204</v>
      </c>
      <c r="H123" s="101" t="str">
        <f>IF(OR(Table_8_UK!J7=0,Table_8_UK!L7&gt;0),"PASS","FAIL")</f>
        <v>PASS</v>
      </c>
      <c r="I123" s="67" t="str">
        <f>Table_8_UK!J7&amp;", "&amp;Table_8_UK!L7</f>
        <v>1655, 284</v>
      </c>
      <c r="J123" s="54"/>
      <c r="K123" s="122"/>
      <c r="N123" s="36">
        <f t="shared" si="4"/>
        <v>0</v>
      </c>
      <c r="O123" s="36">
        <f t="shared" si="5"/>
        <v>0</v>
      </c>
    </row>
    <row r="124" spans="1:15" customFormat="1" ht="16.5" customHeight="1" x14ac:dyDescent="0.25">
      <c r="A124" s="116" t="s">
        <v>473</v>
      </c>
      <c r="B124" s="609" t="s">
        <v>474</v>
      </c>
      <c r="C124" s="609"/>
      <c r="D124" s="609"/>
      <c r="E124" s="609" t="s">
        <v>475</v>
      </c>
      <c r="F124" s="609"/>
      <c r="G124" s="100" t="s">
        <v>204</v>
      </c>
      <c r="H124" s="101" t="str">
        <f>IF(OR(Table_8_UK!J8=0,Table_8_UK!L8&gt;0),"PASS","FAIL")</f>
        <v>PASS</v>
      </c>
      <c r="I124" s="67" t="str">
        <f>Table_8_UK!J8&amp;", "&amp;Table_8_UK!L8</f>
        <v>1448, 527</v>
      </c>
      <c r="J124" s="54"/>
      <c r="K124" s="122"/>
      <c r="N124" s="36">
        <f t="shared" si="4"/>
        <v>0</v>
      </c>
      <c r="O124" s="36">
        <f t="shared" si="5"/>
        <v>0</v>
      </c>
    </row>
    <row r="125" spans="1:15" customFormat="1" ht="16.5" customHeight="1" x14ac:dyDescent="0.25">
      <c r="A125" s="116" t="s">
        <v>476</v>
      </c>
      <c r="B125" s="609" t="s">
        <v>477</v>
      </c>
      <c r="C125" s="609"/>
      <c r="D125" s="609"/>
      <c r="E125" s="609" t="s">
        <v>478</v>
      </c>
      <c r="F125" s="609"/>
      <c r="G125" s="100" t="s">
        <v>204</v>
      </c>
      <c r="H125" s="101" t="str">
        <f>IF(OR(Table_8_UK!J9=0,Table_8_UK!L9&gt;0),"PASS","FAIL")</f>
        <v>PASS</v>
      </c>
      <c r="I125" s="67" t="str">
        <f>Table_8_UK!J9&amp;", "&amp;Table_8_UK!L9</f>
        <v>7414, 1873</v>
      </c>
      <c r="J125" s="54"/>
      <c r="K125" s="105"/>
      <c r="N125" s="36">
        <f t="shared" si="4"/>
        <v>0</v>
      </c>
      <c r="O125" s="36">
        <f t="shared" si="5"/>
        <v>0</v>
      </c>
    </row>
    <row r="126" spans="1:15" customFormat="1" ht="16.5" customHeight="1" x14ac:dyDescent="0.25">
      <c r="A126" s="116" t="s">
        <v>479</v>
      </c>
      <c r="B126" s="609" t="s">
        <v>480</v>
      </c>
      <c r="C126" s="609"/>
      <c r="D126" s="609"/>
      <c r="E126" s="609" t="s">
        <v>481</v>
      </c>
      <c r="F126" s="609"/>
      <c r="G126" s="100" t="s">
        <v>204</v>
      </c>
      <c r="H126" s="101" t="str">
        <f>IF(OR(Table_8_UK!J10=0,Table_8_UK!L10&gt;0),"PASS","FAIL")</f>
        <v>PASS</v>
      </c>
      <c r="I126" s="67" t="str">
        <f>Table_8_UK!J10&amp;", "&amp;Table_8_UK!L10</f>
        <v>0, 0</v>
      </c>
      <c r="J126" s="54"/>
      <c r="K126" s="105"/>
      <c r="N126" s="36">
        <f t="shared" si="4"/>
        <v>0</v>
      </c>
      <c r="O126" s="36">
        <f t="shared" si="5"/>
        <v>0</v>
      </c>
    </row>
    <row r="127" spans="1:15" customFormat="1" ht="16.5" customHeight="1" x14ac:dyDescent="0.25">
      <c r="A127" s="116" t="s">
        <v>482</v>
      </c>
      <c r="B127" s="609" t="s">
        <v>483</v>
      </c>
      <c r="C127" s="609"/>
      <c r="D127" s="609"/>
      <c r="E127" s="609" t="s">
        <v>484</v>
      </c>
      <c r="F127" s="609"/>
      <c r="G127" s="100" t="s">
        <v>204</v>
      </c>
      <c r="H127" s="101" t="str">
        <f>IF(OR(Table_8_UK!J11=0,Table_8_UK!L11&gt;0),"PASS","FAIL")</f>
        <v>PASS</v>
      </c>
      <c r="I127" s="67" t="str">
        <f>Table_8_UK!J11&amp;", "&amp;Table_8_UK!L11</f>
        <v>0, 0</v>
      </c>
      <c r="J127" s="54"/>
      <c r="K127" s="105"/>
      <c r="N127" s="36">
        <f t="shared" si="4"/>
        <v>0</v>
      </c>
      <c r="O127" s="36">
        <f t="shared" si="5"/>
        <v>0</v>
      </c>
    </row>
    <row r="128" spans="1:15" customFormat="1" ht="16.5" customHeight="1" x14ac:dyDescent="0.25">
      <c r="A128" s="116" t="s">
        <v>485</v>
      </c>
      <c r="B128" s="609" t="s">
        <v>486</v>
      </c>
      <c r="C128" s="609"/>
      <c r="D128" s="609"/>
      <c r="E128" s="609" t="s">
        <v>487</v>
      </c>
      <c r="F128" s="609"/>
      <c r="G128" s="100" t="s">
        <v>204</v>
      </c>
      <c r="H128" s="101" t="str">
        <f>IF(OR(Table_8_UK!J12=0,Table_8_UK!L12&gt;0),"PASS","FAIL")</f>
        <v>PASS</v>
      </c>
      <c r="I128" s="67" t="str">
        <f>Table_8_UK!J12&amp;", "&amp;Table_8_UK!L12</f>
        <v>0, 0</v>
      </c>
      <c r="J128" s="68"/>
      <c r="K128" s="105"/>
      <c r="N128" s="36">
        <f t="shared" si="4"/>
        <v>0</v>
      </c>
      <c r="O128" s="36">
        <f t="shared" si="5"/>
        <v>0</v>
      </c>
    </row>
    <row r="129" spans="1:15" customFormat="1" ht="16.5" customHeight="1" x14ac:dyDescent="0.25">
      <c r="A129" s="116" t="s">
        <v>488</v>
      </c>
      <c r="B129" s="609" t="s">
        <v>489</v>
      </c>
      <c r="C129" s="609"/>
      <c r="D129" s="609"/>
      <c r="E129" s="609" t="s">
        <v>490</v>
      </c>
      <c r="F129" s="609"/>
      <c r="G129" s="100" t="s">
        <v>204</v>
      </c>
      <c r="H129" s="101" t="str">
        <f>IF(OR(Table_8_UK!J13=0,Table_8_UK!L13&gt;0),"PASS","FAIL")</f>
        <v>PASS</v>
      </c>
      <c r="I129" s="67" t="str">
        <f>Table_8_UK!J13&amp;", "&amp;Table_8_UK!L13</f>
        <v>0, 0</v>
      </c>
      <c r="J129" s="54"/>
      <c r="K129" s="105"/>
      <c r="N129" s="36">
        <f t="shared" si="4"/>
        <v>0</v>
      </c>
      <c r="O129" s="36">
        <f t="shared" si="5"/>
        <v>0</v>
      </c>
    </row>
    <row r="130" spans="1:15" customFormat="1" ht="16.5" customHeight="1" x14ac:dyDescent="0.25">
      <c r="A130" s="116" t="s">
        <v>491</v>
      </c>
      <c r="B130" s="609" t="s">
        <v>492</v>
      </c>
      <c r="C130" s="609"/>
      <c r="D130" s="609"/>
      <c r="E130" s="609" t="s">
        <v>493</v>
      </c>
      <c r="F130" s="609"/>
      <c r="G130" s="100" t="s">
        <v>204</v>
      </c>
      <c r="H130" s="101" t="str">
        <f>IF(OR(Table_8_UK!J14=0,Table_8_UK!L14&gt;0),"PASS","FAIL")</f>
        <v>PASS</v>
      </c>
      <c r="I130" s="67" t="str">
        <f>Table_8_UK!J14&amp;", "&amp;Table_8_UK!L14</f>
        <v>27110, 11808</v>
      </c>
      <c r="J130" s="54"/>
      <c r="K130" s="105"/>
      <c r="N130" s="36">
        <f t="shared" si="4"/>
        <v>0</v>
      </c>
      <c r="O130" s="36">
        <f t="shared" si="5"/>
        <v>0</v>
      </c>
    </row>
    <row r="131" spans="1:15" customFormat="1" ht="16.5" customHeight="1" x14ac:dyDescent="0.25">
      <c r="A131" s="116" t="s">
        <v>494</v>
      </c>
      <c r="B131" s="609" t="s">
        <v>495</v>
      </c>
      <c r="C131" s="609"/>
      <c r="D131" s="609"/>
      <c r="E131" s="609" t="s">
        <v>496</v>
      </c>
      <c r="F131" s="609"/>
      <c r="G131" s="100" t="s">
        <v>204</v>
      </c>
      <c r="H131" s="101" t="str">
        <f>IF(OR(Table_8_UK!J15=0,Table_8_UK!L15&gt;0),"PASS","FAIL")</f>
        <v>PASS</v>
      </c>
      <c r="I131" s="67" t="str">
        <f>Table_8_UK!J15&amp;", "&amp;Table_8_UK!L15</f>
        <v>0, 0</v>
      </c>
      <c r="K131" s="105"/>
      <c r="N131" s="36">
        <f t="shared" si="4"/>
        <v>0</v>
      </c>
      <c r="O131" s="36">
        <f t="shared" si="5"/>
        <v>0</v>
      </c>
    </row>
    <row r="132" spans="1:15" customFormat="1" ht="16.5" customHeight="1" x14ac:dyDescent="0.25">
      <c r="A132" s="116" t="s">
        <v>497</v>
      </c>
      <c r="B132" s="609" t="s">
        <v>498</v>
      </c>
      <c r="C132" s="609"/>
      <c r="D132" s="609"/>
      <c r="E132" s="609" t="s">
        <v>499</v>
      </c>
      <c r="F132" s="609"/>
      <c r="G132" s="100" t="s">
        <v>204</v>
      </c>
      <c r="H132" s="101" t="str">
        <f>IF(OR(Table_8_UK!J16=0,Table_8_UK!L16&gt;0),"PASS","FAIL")</f>
        <v>PASS</v>
      </c>
      <c r="I132" s="67" t="str">
        <f>Table_8_UK!J16&amp;", "&amp;Table_8_UK!L16</f>
        <v>10113, 4330</v>
      </c>
      <c r="K132" s="105"/>
      <c r="N132" s="36">
        <f t="shared" si="4"/>
        <v>0</v>
      </c>
      <c r="O132" s="36">
        <f t="shared" si="5"/>
        <v>0</v>
      </c>
    </row>
    <row r="133" spans="1:15" customFormat="1" ht="16.5" customHeight="1" x14ac:dyDescent="0.25">
      <c r="A133" s="116" t="s">
        <v>500</v>
      </c>
      <c r="B133" s="609" t="s">
        <v>501</v>
      </c>
      <c r="C133" s="609"/>
      <c r="D133" s="609"/>
      <c r="E133" s="609" t="s">
        <v>502</v>
      </c>
      <c r="F133" s="609"/>
      <c r="G133" s="100" t="s">
        <v>204</v>
      </c>
      <c r="H133" s="101" t="str">
        <f>IF(OR(Table_8_UK!J17=0,Table_8_UK!L17&gt;0),"PASS","FAIL")</f>
        <v>PASS</v>
      </c>
      <c r="I133" s="67" t="str">
        <f>Table_8_UK!J17&amp;", "&amp;Table_8_UK!L17</f>
        <v>27890, 8555</v>
      </c>
      <c r="K133" s="105"/>
      <c r="N133" s="36">
        <f t="shared" si="4"/>
        <v>0</v>
      </c>
      <c r="O133" s="36">
        <f t="shared" si="5"/>
        <v>0</v>
      </c>
    </row>
    <row r="134" spans="1:15" customFormat="1" ht="16.5" customHeight="1" x14ac:dyDescent="0.25">
      <c r="A134" s="116" t="s">
        <v>503</v>
      </c>
      <c r="B134" s="609" t="s">
        <v>504</v>
      </c>
      <c r="C134" s="609"/>
      <c r="D134" s="609"/>
      <c r="E134" s="609" t="s">
        <v>505</v>
      </c>
      <c r="F134" s="609"/>
      <c r="G134" s="100" t="s">
        <v>204</v>
      </c>
      <c r="H134" s="101" t="str">
        <f>IF(OR(Table_8_UK!J18=0,Table_8_UK!L18&gt;0),"PASS","FAIL")</f>
        <v>PASS</v>
      </c>
      <c r="I134" s="67" t="str">
        <f>Table_8_UK!J18&amp;", "&amp;Table_8_UK!L18</f>
        <v>6169, 1976</v>
      </c>
      <c r="K134" s="105"/>
      <c r="N134" s="36">
        <f t="shared" si="4"/>
        <v>0</v>
      </c>
      <c r="O134" s="36">
        <f t="shared" si="5"/>
        <v>0</v>
      </c>
    </row>
    <row r="135" spans="1:15" customFormat="1" ht="16.5" customHeight="1" x14ac:dyDescent="0.25">
      <c r="A135" s="116" t="s">
        <v>506</v>
      </c>
      <c r="B135" s="609" t="s">
        <v>507</v>
      </c>
      <c r="C135" s="609"/>
      <c r="D135" s="609"/>
      <c r="E135" s="609" t="s">
        <v>508</v>
      </c>
      <c r="F135" s="609"/>
      <c r="G135" s="100" t="s">
        <v>204</v>
      </c>
      <c r="H135" s="101" t="str">
        <f>IF(OR(Table_8_UK!J19=0,Table_8_UK!L19&gt;0),"PASS","FAIL")</f>
        <v>PASS</v>
      </c>
      <c r="I135" s="67" t="str">
        <f>Table_8_UK!J19&amp;", "&amp;Table_8_UK!L19</f>
        <v>11582, 5415</v>
      </c>
      <c r="K135" s="105"/>
      <c r="N135" s="36">
        <f t="shared" si="4"/>
        <v>0</v>
      </c>
      <c r="O135" s="36">
        <f t="shared" si="5"/>
        <v>0</v>
      </c>
    </row>
    <row r="136" spans="1:15" customFormat="1" ht="16.5" customHeight="1" x14ac:dyDescent="0.25">
      <c r="A136" s="116" t="s">
        <v>509</v>
      </c>
      <c r="B136" s="609" t="s">
        <v>510</v>
      </c>
      <c r="C136" s="609"/>
      <c r="D136" s="609"/>
      <c r="E136" s="609" t="s">
        <v>511</v>
      </c>
      <c r="F136" s="609"/>
      <c r="G136" s="100" t="s">
        <v>204</v>
      </c>
      <c r="H136" s="101" t="str">
        <f>IF(OR(Table_8_UK!J20=0,Table_8_UK!L20&gt;0),"PASS","FAIL")</f>
        <v>PASS</v>
      </c>
      <c r="I136" s="67" t="str">
        <f>Table_8_UK!J20&amp;", "&amp;Table_8_UK!L20</f>
        <v>0, 0</v>
      </c>
      <c r="K136" s="105"/>
      <c r="N136" s="36">
        <f t="shared" si="4"/>
        <v>0</v>
      </c>
      <c r="O136" s="36">
        <f t="shared" si="5"/>
        <v>0</v>
      </c>
    </row>
    <row r="137" spans="1:15" customFormat="1" ht="16.5" customHeight="1" x14ac:dyDescent="0.25">
      <c r="A137" s="116" t="s">
        <v>512</v>
      </c>
      <c r="B137" s="609" t="s">
        <v>513</v>
      </c>
      <c r="C137" s="609"/>
      <c r="D137" s="609"/>
      <c r="E137" s="609" t="s">
        <v>514</v>
      </c>
      <c r="F137" s="609"/>
      <c r="G137" s="100" t="s">
        <v>204</v>
      </c>
      <c r="H137" s="101" t="str">
        <f>IF(OR(Table_8_UK!J21=0,Table_8_UK!L21&gt;0),"PASS","FAIL")</f>
        <v>PASS</v>
      </c>
      <c r="I137" s="67" t="str">
        <f>Table_8_UK!J21&amp;", "&amp;Table_8_UK!L21</f>
        <v>2440, 1530</v>
      </c>
      <c r="K137" s="105"/>
      <c r="N137" s="36">
        <f t="shared" si="4"/>
        <v>0</v>
      </c>
      <c r="O137" s="36">
        <f t="shared" si="5"/>
        <v>0</v>
      </c>
    </row>
    <row r="138" spans="1:15" customFormat="1" ht="16.5" customHeight="1" x14ac:dyDescent="0.25">
      <c r="A138" s="116" t="s">
        <v>515</v>
      </c>
      <c r="B138" s="609" t="s">
        <v>516</v>
      </c>
      <c r="C138" s="609"/>
      <c r="D138" s="609"/>
      <c r="E138" s="609" t="s">
        <v>517</v>
      </c>
      <c r="F138" s="609"/>
      <c r="G138" s="100" t="s">
        <v>204</v>
      </c>
      <c r="H138" s="101" t="str">
        <f>IF(OR(Table_8_UK!J22=0,Table_8_UK!L22&gt;0),"PASS","FAIL")</f>
        <v>PASS</v>
      </c>
      <c r="I138" s="67" t="str">
        <f>Table_8_UK!J22&amp;", "&amp;Table_8_UK!L22</f>
        <v>0, 0</v>
      </c>
      <c r="K138" s="105"/>
      <c r="N138" s="36">
        <f t="shared" si="4"/>
        <v>0</v>
      </c>
      <c r="O138" s="36">
        <f t="shared" si="5"/>
        <v>0</v>
      </c>
    </row>
    <row r="139" spans="1:15" customFormat="1" ht="16.5" customHeight="1" x14ac:dyDescent="0.25">
      <c r="A139" s="116" t="s">
        <v>518</v>
      </c>
      <c r="B139" s="609" t="s">
        <v>519</v>
      </c>
      <c r="C139" s="609"/>
      <c r="D139" s="609"/>
      <c r="E139" s="609" t="s">
        <v>520</v>
      </c>
      <c r="F139" s="609"/>
      <c r="G139" s="100" t="s">
        <v>204</v>
      </c>
      <c r="H139" s="101" t="str">
        <f>IF(OR(Table_8_UK!J23=0,Table_8_UK!L23&gt;0),"PASS","FAIL")</f>
        <v>PASS</v>
      </c>
      <c r="I139" s="67" t="str">
        <f>Table_8_UK!J23&amp;", "&amp;Table_8_UK!L23</f>
        <v>4468, 2397</v>
      </c>
      <c r="K139" s="105"/>
      <c r="N139" s="36">
        <f t="shared" si="4"/>
        <v>0</v>
      </c>
      <c r="O139" s="36">
        <f t="shared" si="5"/>
        <v>0</v>
      </c>
    </row>
    <row r="140" spans="1:15" customFormat="1" ht="16.5" customHeight="1" x14ac:dyDescent="0.25">
      <c r="A140" s="116" t="s">
        <v>521</v>
      </c>
      <c r="B140" s="609" t="s">
        <v>522</v>
      </c>
      <c r="C140" s="609"/>
      <c r="D140" s="609"/>
      <c r="E140" s="609" t="s">
        <v>523</v>
      </c>
      <c r="F140" s="609"/>
      <c r="G140" s="100" t="s">
        <v>204</v>
      </c>
      <c r="H140" s="101" t="str">
        <f>IF(OR(Table_8_UK!J24=0,Table_8_UK!L24&gt;0),"PASS","FAIL")</f>
        <v>PASS</v>
      </c>
      <c r="I140" s="67" t="str">
        <f>Table_8_UK!J24&amp;", "&amp;Table_8_UK!L24</f>
        <v>4721, 2459</v>
      </c>
      <c r="K140" s="105"/>
      <c r="N140" s="36">
        <f t="shared" si="4"/>
        <v>0</v>
      </c>
      <c r="O140" s="36">
        <f t="shared" si="5"/>
        <v>0</v>
      </c>
    </row>
    <row r="141" spans="1:15" customFormat="1" ht="16.5" customHeight="1" x14ac:dyDescent="0.25">
      <c r="A141" s="116" t="s">
        <v>524</v>
      </c>
      <c r="B141" s="609" t="s">
        <v>525</v>
      </c>
      <c r="C141" s="609"/>
      <c r="D141" s="609"/>
      <c r="E141" s="609" t="s">
        <v>526</v>
      </c>
      <c r="F141" s="609"/>
      <c r="G141" s="100" t="s">
        <v>204</v>
      </c>
      <c r="H141" s="101" t="str">
        <f>IF(OR(Table_8_UK!J25=0,Table_8_UK!L25&gt;0),"PASS","FAIL")</f>
        <v>PASS</v>
      </c>
      <c r="I141" s="67" t="str">
        <f>Table_8_UK!J25&amp;", "&amp;Table_8_UK!L25</f>
        <v>2961, 1772</v>
      </c>
      <c r="K141" s="105"/>
      <c r="N141" s="36">
        <f t="shared" si="4"/>
        <v>0</v>
      </c>
      <c r="O141" s="36">
        <f t="shared" ref="O141:O172" si="6">IF(AND(G141="Warning",H141="FAIL"),1,0)</f>
        <v>0</v>
      </c>
    </row>
    <row r="142" spans="1:15" customFormat="1" ht="16.5" customHeight="1" x14ac:dyDescent="0.25">
      <c r="A142" s="116" t="s">
        <v>527</v>
      </c>
      <c r="B142" s="609" t="s">
        <v>528</v>
      </c>
      <c r="C142" s="609"/>
      <c r="D142" s="609"/>
      <c r="E142" s="609" t="s">
        <v>529</v>
      </c>
      <c r="F142" s="609"/>
      <c r="G142" s="100" t="s">
        <v>204</v>
      </c>
      <c r="H142" s="101" t="str">
        <f>IF(OR(Table_8_UK!J26=0,Table_8_UK!L26&gt;0),"PASS","FAIL")</f>
        <v>PASS</v>
      </c>
      <c r="I142" s="67" t="str">
        <f>Table_8_UK!J26&amp;", "&amp;Table_8_UK!L26</f>
        <v>14062, 10952</v>
      </c>
      <c r="K142" s="105"/>
      <c r="N142" s="36">
        <f t="shared" si="4"/>
        <v>0</v>
      </c>
      <c r="O142" s="36">
        <f t="shared" si="6"/>
        <v>0</v>
      </c>
    </row>
    <row r="143" spans="1:15" customFormat="1" ht="16.5" customHeight="1" x14ac:dyDescent="0.25">
      <c r="A143" s="116" t="s">
        <v>530</v>
      </c>
      <c r="B143" s="609" t="s">
        <v>531</v>
      </c>
      <c r="C143" s="609"/>
      <c r="D143" s="609"/>
      <c r="E143" s="609" t="s">
        <v>532</v>
      </c>
      <c r="F143" s="609"/>
      <c r="G143" s="100" t="s">
        <v>204</v>
      </c>
      <c r="H143" s="101" t="str">
        <f>IF(OR(Table_8_UK!J27=0,Table_8_UK!L27&gt;0),"PASS","FAIL")</f>
        <v>PASS</v>
      </c>
      <c r="I143" s="67" t="str">
        <f>Table_8_UK!J27&amp;", "&amp;Table_8_UK!L27</f>
        <v>7080, 3825</v>
      </c>
      <c r="K143" s="105"/>
      <c r="N143" s="36">
        <f t="shared" si="4"/>
        <v>0</v>
      </c>
      <c r="O143" s="36">
        <f t="shared" si="6"/>
        <v>0</v>
      </c>
    </row>
    <row r="144" spans="1:15" customFormat="1" ht="16.5" customHeight="1" x14ac:dyDescent="0.25">
      <c r="A144" s="116" t="s">
        <v>533</v>
      </c>
      <c r="B144" s="609" t="s">
        <v>534</v>
      </c>
      <c r="C144" s="609"/>
      <c r="D144" s="609"/>
      <c r="E144" s="609" t="s">
        <v>535</v>
      </c>
      <c r="F144" s="609"/>
      <c r="G144" s="100" t="s">
        <v>204</v>
      </c>
      <c r="H144" s="101" t="str">
        <f>IF(OR(Table_8_UK!J28=0,Table_8_UK!L28&gt;0),"PASS","FAIL")</f>
        <v>PASS</v>
      </c>
      <c r="I144" s="67" t="str">
        <f>Table_8_UK!J28&amp;", "&amp;Table_8_UK!L28</f>
        <v>4045, 1724</v>
      </c>
      <c r="K144" s="105"/>
      <c r="N144" s="36">
        <f t="shared" si="4"/>
        <v>0</v>
      </c>
      <c r="O144" s="36">
        <f t="shared" si="6"/>
        <v>0</v>
      </c>
    </row>
    <row r="145" spans="1:15" customFormat="1" ht="16.5" customHeight="1" x14ac:dyDescent="0.25">
      <c r="A145" s="116" t="s">
        <v>536</v>
      </c>
      <c r="B145" s="609" t="s">
        <v>537</v>
      </c>
      <c r="C145" s="609"/>
      <c r="D145" s="609"/>
      <c r="E145" s="609" t="s">
        <v>538</v>
      </c>
      <c r="F145" s="609"/>
      <c r="G145" s="100" t="s">
        <v>204</v>
      </c>
      <c r="H145" s="101" t="str">
        <f>IF(OR(Table_8_UK!J29=0,Table_8_UK!L29&gt;0),"PASS","FAIL")</f>
        <v>PASS</v>
      </c>
      <c r="I145" s="67" t="str">
        <f>Table_8_UK!J29&amp;", "&amp;Table_8_UK!L29</f>
        <v>2644, 666</v>
      </c>
      <c r="K145" s="105"/>
      <c r="N145" s="36">
        <f t="shared" si="4"/>
        <v>0</v>
      </c>
      <c r="O145" s="36">
        <f t="shared" si="6"/>
        <v>0</v>
      </c>
    </row>
    <row r="146" spans="1:15" customFormat="1" ht="16.5" customHeight="1" x14ac:dyDescent="0.25">
      <c r="A146" s="116" t="s">
        <v>539</v>
      </c>
      <c r="B146" s="609" t="s">
        <v>540</v>
      </c>
      <c r="C146" s="609"/>
      <c r="D146" s="609"/>
      <c r="E146" s="609" t="s">
        <v>541</v>
      </c>
      <c r="F146" s="609"/>
      <c r="G146" s="100" t="s">
        <v>204</v>
      </c>
      <c r="H146" s="101" t="str">
        <f>IF(OR(Table_8_UK!J30=0,Table_8_UK!L30&gt;0),"PASS","FAIL")</f>
        <v>PASS</v>
      </c>
      <c r="I146" s="67" t="str">
        <f>Table_8_UK!J30&amp;", "&amp;Table_8_UK!L30</f>
        <v>4330, 928</v>
      </c>
      <c r="K146" s="105"/>
      <c r="N146" s="36">
        <f t="shared" si="4"/>
        <v>0</v>
      </c>
      <c r="O146" s="36">
        <f t="shared" si="6"/>
        <v>0</v>
      </c>
    </row>
    <row r="147" spans="1:15" customFormat="1" ht="16.5" customHeight="1" x14ac:dyDescent="0.25">
      <c r="A147" s="116" t="s">
        <v>542</v>
      </c>
      <c r="B147" s="609" t="s">
        <v>543</v>
      </c>
      <c r="C147" s="609"/>
      <c r="D147" s="609"/>
      <c r="E147" s="609" t="s">
        <v>544</v>
      </c>
      <c r="F147" s="609"/>
      <c r="G147" s="100" t="s">
        <v>204</v>
      </c>
      <c r="H147" s="101" t="str">
        <f>IF(OR(Table_8_UK!J31=0,Table_8_UK!L31&gt;0),"PASS","FAIL")</f>
        <v>PASS</v>
      </c>
      <c r="I147" s="67" t="str">
        <f>Table_8_UK!J31&amp;", "&amp;Table_8_UK!L31</f>
        <v>1098, 226</v>
      </c>
      <c r="K147" s="105"/>
      <c r="N147" s="36">
        <f t="shared" si="4"/>
        <v>0</v>
      </c>
      <c r="O147" s="36">
        <f t="shared" si="6"/>
        <v>0</v>
      </c>
    </row>
    <row r="148" spans="1:15" customFormat="1" ht="16.5" customHeight="1" x14ac:dyDescent="0.25">
      <c r="A148" s="116" t="s">
        <v>545</v>
      </c>
      <c r="B148" s="609" t="s">
        <v>546</v>
      </c>
      <c r="C148" s="609"/>
      <c r="D148" s="609"/>
      <c r="E148" s="609" t="s">
        <v>547</v>
      </c>
      <c r="F148" s="609"/>
      <c r="G148" s="100" t="s">
        <v>204</v>
      </c>
      <c r="H148" s="101" t="str">
        <f>IF(OR(Table_8_UK!J32=0,Table_8_UK!L32&gt;0),"PASS","FAIL")</f>
        <v>PASS</v>
      </c>
      <c r="I148" s="67" t="str">
        <f>Table_8_UK!J32&amp;", "&amp;Table_8_UK!L32</f>
        <v>2770, 639</v>
      </c>
      <c r="K148" s="105"/>
      <c r="N148" s="36">
        <f t="shared" si="4"/>
        <v>0</v>
      </c>
      <c r="O148" s="36">
        <f t="shared" si="6"/>
        <v>0</v>
      </c>
    </row>
    <row r="149" spans="1:15" customFormat="1" ht="16.5" customHeight="1" x14ac:dyDescent="0.25">
      <c r="A149" s="116" t="s">
        <v>548</v>
      </c>
      <c r="B149" s="609" t="s">
        <v>549</v>
      </c>
      <c r="C149" s="609"/>
      <c r="D149" s="609"/>
      <c r="E149" s="609" t="s">
        <v>550</v>
      </c>
      <c r="F149" s="609"/>
      <c r="G149" s="100" t="s">
        <v>204</v>
      </c>
      <c r="H149" s="101" t="str">
        <f>IF(OR(Table_8_UK!J33=0,Table_8_UK!L33&gt;0),"PASS","FAIL")</f>
        <v>PASS</v>
      </c>
      <c r="I149" s="67" t="str">
        <f>Table_8_UK!J33&amp;", "&amp;Table_8_UK!L33</f>
        <v>5186, 1381</v>
      </c>
      <c r="K149" s="105"/>
      <c r="N149" s="36">
        <f t="shared" si="4"/>
        <v>0</v>
      </c>
      <c r="O149" s="36">
        <f t="shared" si="6"/>
        <v>0</v>
      </c>
    </row>
    <row r="150" spans="1:15" customFormat="1" ht="16.5" customHeight="1" x14ac:dyDescent="0.25">
      <c r="A150" s="116" t="s">
        <v>551</v>
      </c>
      <c r="B150" s="609" t="s">
        <v>552</v>
      </c>
      <c r="C150" s="609"/>
      <c r="D150" s="609"/>
      <c r="E150" s="609" t="s">
        <v>553</v>
      </c>
      <c r="F150" s="609"/>
      <c r="G150" s="100" t="s">
        <v>204</v>
      </c>
      <c r="H150" s="101" t="str">
        <f>IF(OR(Table_8_UK!J34=0,Table_8_UK!L34&gt;0),"PASS","FAIL")</f>
        <v>PASS</v>
      </c>
      <c r="I150" s="67" t="str">
        <f>Table_8_UK!J34&amp;", "&amp;Table_8_UK!L34</f>
        <v>4498, 2067</v>
      </c>
      <c r="K150" s="105"/>
      <c r="N150" s="36">
        <f t="shared" si="4"/>
        <v>0</v>
      </c>
      <c r="O150" s="36">
        <f t="shared" si="6"/>
        <v>0</v>
      </c>
    </row>
    <row r="151" spans="1:15" customFormat="1" ht="16.5" customHeight="1" x14ac:dyDescent="0.25">
      <c r="A151" s="116" t="s">
        <v>554</v>
      </c>
      <c r="B151" s="609" t="s">
        <v>555</v>
      </c>
      <c r="C151" s="609"/>
      <c r="D151" s="609"/>
      <c r="E151" s="609" t="s">
        <v>556</v>
      </c>
      <c r="F151" s="609"/>
      <c r="G151" s="100" t="s">
        <v>204</v>
      </c>
      <c r="H151" s="101" t="str">
        <f>IF(OR(Table_8_UK!J35=0,Table_8_UK!L35&gt;0),"PASS","FAIL")</f>
        <v>PASS</v>
      </c>
      <c r="I151" s="67" t="str">
        <f>Table_8_UK!J35&amp;", "&amp;Table_8_UK!L35</f>
        <v>9121, 1579</v>
      </c>
      <c r="K151" s="105"/>
      <c r="N151" s="36">
        <f t="shared" si="4"/>
        <v>0</v>
      </c>
      <c r="O151" s="36">
        <f t="shared" si="6"/>
        <v>0</v>
      </c>
    </row>
    <row r="152" spans="1:15" customFormat="1" ht="16.5" customHeight="1" x14ac:dyDescent="0.25">
      <c r="A152" s="116" t="s">
        <v>557</v>
      </c>
      <c r="B152" s="609" t="s">
        <v>558</v>
      </c>
      <c r="C152" s="609"/>
      <c r="D152" s="609"/>
      <c r="E152" s="609" t="s">
        <v>559</v>
      </c>
      <c r="F152" s="609"/>
      <c r="G152" s="100" t="s">
        <v>204</v>
      </c>
      <c r="H152" s="101" t="str">
        <f>IF(OR(Table_8_UK!J36=0,Table_8_UK!L36&gt;0),"PASS","FAIL")</f>
        <v>PASS</v>
      </c>
      <c r="I152" s="67" t="str">
        <f>Table_8_UK!J36&amp;", "&amp;Table_8_UK!L36</f>
        <v>3782, 755</v>
      </c>
      <c r="K152" s="105"/>
      <c r="N152" s="36">
        <f t="shared" si="4"/>
        <v>0</v>
      </c>
      <c r="O152" s="36">
        <f t="shared" si="6"/>
        <v>0</v>
      </c>
    </row>
    <row r="153" spans="1:15" customFormat="1" ht="16.5" customHeight="1" x14ac:dyDescent="0.25">
      <c r="A153" s="116" t="s">
        <v>560</v>
      </c>
      <c r="B153" s="609" t="s">
        <v>561</v>
      </c>
      <c r="C153" s="609"/>
      <c r="D153" s="609"/>
      <c r="E153" s="609" t="s">
        <v>562</v>
      </c>
      <c r="F153" s="609"/>
      <c r="G153" s="100" t="s">
        <v>204</v>
      </c>
      <c r="H153" s="101" t="str">
        <f>IF(OR(Table_8_UK!J37=0,Table_8_UK!L37&gt;0),"PASS","FAIL")</f>
        <v>PASS</v>
      </c>
      <c r="I153" s="67" t="str">
        <f>Table_8_UK!J37&amp;", "&amp;Table_8_UK!L37</f>
        <v>5771, 857</v>
      </c>
      <c r="K153" s="105"/>
      <c r="N153" s="36">
        <f t="shared" si="4"/>
        <v>0</v>
      </c>
      <c r="O153" s="36">
        <f t="shared" si="6"/>
        <v>0</v>
      </c>
    </row>
    <row r="154" spans="1:15" customFormat="1" ht="16.5" customHeight="1" x14ac:dyDescent="0.25">
      <c r="A154" s="116" t="s">
        <v>563</v>
      </c>
      <c r="B154" s="609" t="s">
        <v>564</v>
      </c>
      <c r="C154" s="609"/>
      <c r="D154" s="609"/>
      <c r="E154" s="609" t="s">
        <v>565</v>
      </c>
      <c r="F154" s="609"/>
      <c r="G154" s="100" t="s">
        <v>204</v>
      </c>
      <c r="H154" s="101" t="str">
        <f>IF(OR(Table_8_UK!J38=0,Table_8_UK!L38&gt;0),"PASS","FAIL")</f>
        <v>PASS</v>
      </c>
      <c r="I154" s="67" t="str">
        <f>Table_8_UK!J38&amp;", "&amp;Table_8_UK!L38</f>
        <v>15296, 7402</v>
      </c>
      <c r="K154" s="105"/>
      <c r="N154" s="36">
        <f t="shared" ref="N154:N217" si="7">IF(AND(G154="Error",H154="FAIL"),1,0)</f>
        <v>0</v>
      </c>
      <c r="O154" s="36">
        <f t="shared" si="6"/>
        <v>0</v>
      </c>
    </row>
    <row r="155" spans="1:15" customFormat="1" ht="16.5" customHeight="1" x14ac:dyDescent="0.25">
      <c r="A155" s="116" t="s">
        <v>566</v>
      </c>
      <c r="B155" s="609" t="s">
        <v>567</v>
      </c>
      <c r="C155" s="609"/>
      <c r="D155" s="609"/>
      <c r="E155" s="609" t="s">
        <v>568</v>
      </c>
      <c r="F155" s="609"/>
      <c r="G155" s="100" t="s">
        <v>204</v>
      </c>
      <c r="H155" s="101" t="str">
        <f>IF(OR(Table_8_UK!J39=0,Table_8_UK!L39&gt;0),"PASS","FAIL")</f>
        <v>PASS</v>
      </c>
      <c r="I155" s="67" t="str">
        <f>Table_8_UK!J39&amp;", "&amp;Table_8_UK!L39</f>
        <v>0, 0</v>
      </c>
      <c r="K155" s="105"/>
      <c r="N155" s="36">
        <f t="shared" si="7"/>
        <v>0</v>
      </c>
      <c r="O155" s="36">
        <f t="shared" si="6"/>
        <v>0</v>
      </c>
    </row>
    <row r="156" spans="1:15" customFormat="1" ht="16.5" customHeight="1" x14ac:dyDescent="0.25">
      <c r="A156" s="116" t="s">
        <v>569</v>
      </c>
      <c r="B156" s="609" t="s">
        <v>570</v>
      </c>
      <c r="C156" s="609"/>
      <c r="D156" s="609"/>
      <c r="E156" s="609" t="s">
        <v>571</v>
      </c>
      <c r="F156" s="609"/>
      <c r="G156" s="100" t="s">
        <v>204</v>
      </c>
      <c r="H156" s="101" t="str">
        <f>IF(OR(Table_8_UK!J40=0,Table_8_UK!L40&gt;0),"PASS","FAIL")</f>
        <v>PASS</v>
      </c>
      <c r="I156" s="67" t="str">
        <f>Table_8_UK!J40&amp;", "&amp;Table_8_UK!L40</f>
        <v>13172, 3796</v>
      </c>
      <c r="K156" s="105"/>
      <c r="N156" s="36">
        <f t="shared" si="7"/>
        <v>0</v>
      </c>
      <c r="O156" s="36">
        <f t="shared" si="6"/>
        <v>0</v>
      </c>
    </row>
    <row r="157" spans="1:15" customFormat="1" ht="16.5" customHeight="1" x14ac:dyDescent="0.25">
      <c r="A157" s="116" t="s">
        <v>572</v>
      </c>
      <c r="B157" s="609" t="s">
        <v>573</v>
      </c>
      <c r="C157" s="609"/>
      <c r="D157" s="609"/>
      <c r="E157" s="609" t="s">
        <v>574</v>
      </c>
      <c r="F157" s="609"/>
      <c r="G157" s="100" t="s">
        <v>204</v>
      </c>
      <c r="H157" s="101" t="str">
        <f>IF(OR(Table_8_UK!J41=0,Table_8_UK!L41&gt;0),"PASS","FAIL")</f>
        <v>PASS</v>
      </c>
      <c r="I157" s="67" t="str">
        <f>Table_8_UK!J41&amp;", "&amp;Table_8_UK!L41</f>
        <v>5176, 1456</v>
      </c>
      <c r="K157" s="105"/>
      <c r="N157" s="36">
        <f t="shared" si="7"/>
        <v>0</v>
      </c>
      <c r="O157" s="36">
        <f t="shared" si="6"/>
        <v>0</v>
      </c>
    </row>
    <row r="158" spans="1:15" customFormat="1" ht="16.5" customHeight="1" x14ac:dyDescent="0.25">
      <c r="A158" s="116" t="s">
        <v>575</v>
      </c>
      <c r="B158" s="609" t="s">
        <v>576</v>
      </c>
      <c r="C158" s="609"/>
      <c r="D158" s="609"/>
      <c r="E158" s="609" t="s">
        <v>577</v>
      </c>
      <c r="F158" s="609"/>
      <c r="G158" s="100" t="s">
        <v>204</v>
      </c>
      <c r="H158" s="101" t="str">
        <f>IF(OR(Table_8_UK!J42=0,Table_8_UK!L42&gt;0),"PASS","FAIL")</f>
        <v>PASS</v>
      </c>
      <c r="I158" s="67" t="str">
        <f>Table_8_UK!J42&amp;", "&amp;Table_8_UK!L42</f>
        <v>9804, 1660</v>
      </c>
      <c r="K158" s="105"/>
      <c r="N158" s="36">
        <f t="shared" si="7"/>
        <v>0</v>
      </c>
      <c r="O158" s="36">
        <f t="shared" si="6"/>
        <v>0</v>
      </c>
    </row>
    <row r="159" spans="1:15" customFormat="1" ht="16.5" customHeight="1" x14ac:dyDescent="0.25">
      <c r="A159" s="116" t="s">
        <v>578</v>
      </c>
      <c r="B159" s="609" t="s">
        <v>579</v>
      </c>
      <c r="C159" s="609"/>
      <c r="D159" s="609"/>
      <c r="E159" s="609" t="s">
        <v>580</v>
      </c>
      <c r="F159" s="609"/>
      <c r="G159" s="100" t="s">
        <v>204</v>
      </c>
      <c r="H159" s="101" t="str">
        <f>IF(OR(Table_8_UK!J43=0,Table_8_UK!L43&gt;0),"PASS","FAIL")</f>
        <v>PASS</v>
      </c>
      <c r="I159" s="67" t="str">
        <f>Table_8_UK!J43&amp;", "&amp;Table_8_UK!L43</f>
        <v>4230, 747</v>
      </c>
      <c r="K159" s="105"/>
      <c r="N159" s="36">
        <f t="shared" si="7"/>
        <v>0</v>
      </c>
      <c r="O159" s="36">
        <f t="shared" si="6"/>
        <v>0</v>
      </c>
    </row>
    <row r="160" spans="1:15" customFormat="1" ht="16.5" customHeight="1" x14ac:dyDescent="0.25">
      <c r="A160" s="116" t="s">
        <v>581</v>
      </c>
      <c r="B160" s="609" t="s">
        <v>582</v>
      </c>
      <c r="C160" s="609"/>
      <c r="D160" s="609"/>
      <c r="E160" s="609" t="s">
        <v>583</v>
      </c>
      <c r="F160" s="609"/>
      <c r="G160" s="100" t="s">
        <v>204</v>
      </c>
      <c r="H160" s="101" t="str">
        <f>IF(OR(Table_8_UK!J44=0,Table_8_UK!L44&gt;0),"PASS","FAIL")</f>
        <v>PASS</v>
      </c>
      <c r="I160" s="67" t="str">
        <f>Table_8_UK!J44&amp;", "&amp;Table_8_UK!L44</f>
        <v>5733, 1232</v>
      </c>
      <c r="K160" s="105"/>
      <c r="N160" s="36">
        <f t="shared" si="7"/>
        <v>0</v>
      </c>
      <c r="O160" s="36">
        <f t="shared" si="6"/>
        <v>0</v>
      </c>
    </row>
    <row r="161" spans="1:15" customFormat="1" ht="16.5" customHeight="1" x14ac:dyDescent="0.25">
      <c r="A161" s="116" t="s">
        <v>584</v>
      </c>
      <c r="B161" s="609" t="s">
        <v>585</v>
      </c>
      <c r="C161" s="609"/>
      <c r="D161" s="609"/>
      <c r="E161" s="609" t="s">
        <v>586</v>
      </c>
      <c r="F161" s="609"/>
      <c r="G161" s="100" t="s">
        <v>204</v>
      </c>
      <c r="H161" s="101" t="str">
        <f>IF(OR(Table_8_UK!J45=0,Table_8_UK!L45&gt;0),"PASS","FAIL")</f>
        <v>PASS</v>
      </c>
      <c r="I161" s="67" t="str">
        <f>Table_8_UK!J45&amp;", "&amp;Table_8_UK!L45</f>
        <v>1998, 413</v>
      </c>
      <c r="K161" s="105"/>
      <c r="N161" s="36">
        <f t="shared" si="7"/>
        <v>0</v>
      </c>
      <c r="O161" s="36">
        <f t="shared" si="6"/>
        <v>0</v>
      </c>
    </row>
    <row r="162" spans="1:15" customFormat="1" ht="16.5" customHeight="1" x14ac:dyDescent="0.25">
      <c r="A162" s="116" t="s">
        <v>587</v>
      </c>
      <c r="B162" s="609" t="s">
        <v>588</v>
      </c>
      <c r="C162" s="609"/>
      <c r="D162" s="609"/>
      <c r="E162" s="609" t="s">
        <v>589</v>
      </c>
      <c r="F162" s="609"/>
      <c r="G162" s="100" t="s">
        <v>204</v>
      </c>
      <c r="H162" s="101" t="str">
        <f>IF(OR(Table_8_UK!J46=0,Table_8_UK!L46&gt;0),"PASS","FAIL")</f>
        <v>PASS</v>
      </c>
      <c r="I162" s="67" t="str">
        <f>Table_8_UK!J46&amp;", "&amp;Table_8_UK!L46</f>
        <v>3534, 922</v>
      </c>
      <c r="K162" s="105"/>
      <c r="N162" s="36">
        <f t="shared" si="7"/>
        <v>0</v>
      </c>
      <c r="O162" s="36">
        <f t="shared" si="6"/>
        <v>0</v>
      </c>
    </row>
    <row r="163" spans="1:15" customFormat="1" ht="16.5" customHeight="1" x14ac:dyDescent="0.25">
      <c r="A163" s="116" t="s">
        <v>590</v>
      </c>
      <c r="B163" s="609" t="s">
        <v>591</v>
      </c>
      <c r="C163" s="609"/>
      <c r="D163" s="609"/>
      <c r="E163" s="609" t="s">
        <v>592</v>
      </c>
      <c r="F163" s="609"/>
      <c r="G163" s="100" t="s">
        <v>204</v>
      </c>
      <c r="H163" s="101" t="str">
        <f>IF(OR(Table_8_UK!J47=0,Table_8_UK!L47&gt;0),"PASS","FAIL")</f>
        <v>PASS</v>
      </c>
      <c r="I163" s="67" t="str">
        <f>Table_8_UK!J47&amp;", "&amp;Table_8_UK!L47</f>
        <v>2796, 1012</v>
      </c>
      <c r="K163" s="105"/>
      <c r="N163" s="36">
        <f t="shared" si="7"/>
        <v>0</v>
      </c>
      <c r="O163" s="36">
        <f t="shared" si="6"/>
        <v>0</v>
      </c>
    </row>
    <row r="164" spans="1:15" customFormat="1" ht="16.5" customHeight="1" x14ac:dyDescent="0.25">
      <c r="A164" s="116" t="s">
        <v>593</v>
      </c>
      <c r="B164" s="609" t="s">
        <v>594</v>
      </c>
      <c r="C164" s="609"/>
      <c r="D164" s="609"/>
      <c r="E164" s="609" t="s">
        <v>595</v>
      </c>
      <c r="F164" s="609"/>
      <c r="G164" s="100" t="s">
        <v>204</v>
      </c>
      <c r="H164" s="101" t="str">
        <f>IF(OR(Table_8_UK!J48=0,Table_8_UK!L48&gt;0),"PASS","FAIL")</f>
        <v>PASS</v>
      </c>
      <c r="I164" s="67" t="str">
        <f>Table_8_UK!J48&amp;", "&amp;Table_8_UK!L48</f>
        <v>11448, 2838</v>
      </c>
      <c r="K164" s="105"/>
      <c r="N164" s="36">
        <f t="shared" si="7"/>
        <v>0</v>
      </c>
      <c r="O164" s="36">
        <f t="shared" si="6"/>
        <v>0</v>
      </c>
    </row>
    <row r="165" spans="1:15" customFormat="1" ht="16.5" customHeight="1" x14ac:dyDescent="0.25">
      <c r="A165" s="116" t="s">
        <v>596</v>
      </c>
      <c r="B165" s="609" t="s">
        <v>597</v>
      </c>
      <c r="C165" s="609"/>
      <c r="D165" s="609"/>
      <c r="E165" s="609" t="s">
        <v>598</v>
      </c>
      <c r="F165" s="609"/>
      <c r="G165" s="100" t="s">
        <v>204</v>
      </c>
      <c r="H165" s="101" t="str">
        <f>IF(OR(Table_8_UK!J49=0,Table_8_UK!L49&gt;0),"PASS","FAIL")</f>
        <v>PASS</v>
      </c>
      <c r="I165" s="67" t="str">
        <f>Table_8_UK!J49&amp;", "&amp;Table_8_UK!L49</f>
        <v>1432, 951</v>
      </c>
      <c r="K165" s="105"/>
      <c r="N165" s="36">
        <f t="shared" si="7"/>
        <v>0</v>
      </c>
      <c r="O165" s="36">
        <f t="shared" si="6"/>
        <v>0</v>
      </c>
    </row>
    <row r="166" spans="1:15" customFormat="1" ht="16.5" customHeight="1" x14ac:dyDescent="0.25">
      <c r="A166" s="116" t="s">
        <v>599</v>
      </c>
      <c r="B166" s="609" t="s">
        <v>600</v>
      </c>
      <c r="C166" s="609"/>
      <c r="D166" s="609"/>
      <c r="E166" s="609" t="s">
        <v>601</v>
      </c>
      <c r="F166" s="609"/>
      <c r="G166" s="100" t="s">
        <v>204</v>
      </c>
      <c r="H166" s="101" t="str">
        <f>IF(OR(Table_8_UK!J50=0,Table_8_UK!L50&gt;0),"PASS","FAIL")</f>
        <v>PASS</v>
      </c>
      <c r="I166" s="67" t="str">
        <f>Table_8_UK!J50&amp;", "&amp;Table_8_UK!L50</f>
        <v>0, 0</v>
      </c>
      <c r="K166" s="105"/>
      <c r="N166" s="36">
        <f t="shared" si="7"/>
        <v>0</v>
      </c>
      <c r="O166" s="36">
        <f t="shared" si="6"/>
        <v>0</v>
      </c>
    </row>
    <row r="167" spans="1:15" customFormat="1" ht="16.5" customHeight="1" x14ac:dyDescent="0.25">
      <c r="A167" s="116" t="s">
        <v>602</v>
      </c>
      <c r="B167" s="609" t="s">
        <v>603</v>
      </c>
      <c r="C167" s="609"/>
      <c r="D167" s="609"/>
      <c r="E167" s="609" t="s">
        <v>604</v>
      </c>
      <c r="F167" s="609"/>
      <c r="G167" s="100" t="s">
        <v>204</v>
      </c>
      <c r="H167" s="101" t="str">
        <f>IF(Table_8_UK!L101&lt;&gt;0,"FAIL","PASS")</f>
        <v>PASS</v>
      </c>
      <c r="I167" s="67">
        <f>Table_8_UK!L101</f>
        <v>0</v>
      </c>
      <c r="K167" s="105"/>
      <c r="N167" s="36">
        <f t="shared" si="7"/>
        <v>0</v>
      </c>
      <c r="O167" s="36">
        <f t="shared" si="6"/>
        <v>0</v>
      </c>
    </row>
    <row r="168" spans="1:15" s="52" customFormat="1" ht="17.25" customHeight="1" x14ac:dyDescent="0.2">
      <c r="A168" s="116" t="s">
        <v>605</v>
      </c>
      <c r="B168" s="609" t="s">
        <v>606</v>
      </c>
      <c r="C168" s="609"/>
      <c r="D168" s="609"/>
      <c r="E168" s="609" t="s">
        <v>607</v>
      </c>
      <c r="F168" s="609"/>
      <c r="G168" s="121" t="s">
        <v>204</v>
      </c>
      <c r="H168" s="115" t="str">
        <f>IF(OR(Table_8_UK!O102&gt;=20000,IF(Table_8_UK!O102=0,0,(Table_8_UK!O102/Table_8_UK!O105)&gt;=0.1)),"FAIL","PASS")</f>
        <v>FAIL</v>
      </c>
      <c r="I168" s="53" t="str">
        <f>Table_8_UK!O102&amp;", "&amp;Table_8_UK!O105</f>
        <v>46708, 1235935</v>
      </c>
      <c r="J168" s="54"/>
      <c r="K168" s="123"/>
      <c r="L168" s="54"/>
      <c r="M168" s="54"/>
      <c r="N168" s="36">
        <f t="shared" si="7"/>
        <v>0</v>
      </c>
      <c r="O168" s="36">
        <f t="shared" si="6"/>
        <v>1</v>
      </c>
    </row>
    <row r="169" spans="1:15" s="52" customFormat="1" ht="16.5" customHeight="1" x14ac:dyDescent="0.2">
      <c r="A169" s="116" t="s">
        <v>608</v>
      </c>
      <c r="B169" s="609" t="s">
        <v>609</v>
      </c>
      <c r="C169" s="609"/>
      <c r="D169" s="609"/>
      <c r="E169" s="609" t="s">
        <v>610</v>
      </c>
      <c r="F169" s="609"/>
      <c r="G169" s="121" t="s">
        <v>204</v>
      </c>
      <c r="H169" s="115" t="str">
        <f>IF(Table_8_UK!O58+Table_8_UK!O59=0,"FAIL","PASS")</f>
        <v>PASS</v>
      </c>
      <c r="I169" s="53" t="str">
        <f>Table_8_UK!O58&amp;", "&amp;Table_8_UK!O59</f>
        <v>2143, 12665</v>
      </c>
      <c r="J169" s="54"/>
      <c r="K169" s="123"/>
      <c r="L169" s="54"/>
      <c r="M169" s="54"/>
      <c r="N169" s="36">
        <f t="shared" si="7"/>
        <v>0</v>
      </c>
      <c r="O169" s="36">
        <f t="shared" si="6"/>
        <v>0</v>
      </c>
    </row>
    <row r="170" spans="1:15" s="52" customFormat="1" ht="29.25" customHeight="1" x14ac:dyDescent="0.2">
      <c r="A170" s="116" t="s">
        <v>611</v>
      </c>
      <c r="B170" s="609" t="s">
        <v>612</v>
      </c>
      <c r="C170" s="609"/>
      <c r="D170" s="609"/>
      <c r="E170" s="609" t="s">
        <v>613</v>
      </c>
      <c r="F170" s="609"/>
      <c r="G170" s="121" t="s">
        <v>197</v>
      </c>
      <c r="H170" s="101" t="str">
        <f>IF(AND(Table_8_UK!L105&gt;0,(Table_8_UK!L105&lt;&gt;Table_1_UK!H17)),"FAIL","PASS")</f>
        <v>PASS</v>
      </c>
      <c r="I170" s="53" t="str">
        <f>Table_8_UK!L105&amp;", "&amp;Table_1_UK!H17</f>
        <v>383033, 383033</v>
      </c>
      <c r="J170" s="54"/>
      <c r="K170" s="123"/>
      <c r="L170" s="54"/>
      <c r="M170" s="54"/>
      <c r="N170" s="36">
        <f t="shared" si="7"/>
        <v>0</v>
      </c>
      <c r="O170" s="36">
        <f t="shared" si="6"/>
        <v>0</v>
      </c>
    </row>
    <row r="171" spans="1:15" s="52" customFormat="1" ht="29.25" customHeight="1" x14ac:dyDescent="0.2">
      <c r="A171" s="116" t="s">
        <v>614</v>
      </c>
      <c r="B171" s="609" t="s">
        <v>615</v>
      </c>
      <c r="C171" s="609"/>
      <c r="D171" s="609"/>
      <c r="E171" s="609" t="s">
        <v>616</v>
      </c>
      <c r="F171" s="609"/>
      <c r="G171" s="121" t="s">
        <v>197</v>
      </c>
      <c r="H171" s="101" t="str">
        <f>IF(AND(Table_8_UK!M105&gt;0,(Table_8_UK!M105&lt;&gt;Table_1_UK!H18)),"FAIL","PASS")</f>
        <v>PASS</v>
      </c>
      <c r="I171" s="53" t="str">
        <f>Table_8_UK!M105&amp;", "&amp;Table_1_UK!H18</f>
        <v>63758, 63758</v>
      </c>
      <c r="J171" s="54"/>
      <c r="K171" s="123"/>
      <c r="L171" s="54"/>
      <c r="M171" s="54"/>
      <c r="N171" s="36">
        <f t="shared" si="7"/>
        <v>0</v>
      </c>
      <c r="O171" s="36">
        <f t="shared" si="6"/>
        <v>0</v>
      </c>
    </row>
    <row r="172" spans="1:15" s="52" customFormat="1" ht="31.5" customHeight="1" x14ac:dyDescent="0.2">
      <c r="A172" s="116" t="s">
        <v>617</v>
      </c>
      <c r="B172" s="609" t="s">
        <v>618</v>
      </c>
      <c r="C172" s="609"/>
      <c r="D172" s="609"/>
      <c r="E172" s="609" t="s">
        <v>619</v>
      </c>
      <c r="F172" s="609"/>
      <c r="G172" s="121" t="s">
        <v>197</v>
      </c>
      <c r="H172" s="101" t="str">
        <f>IF(AND(Table_8_UK!N105&gt;0,(Table_8_UK!N105&lt;&gt;Table_1_UK!H19)),"FAIL","PASS")</f>
        <v>PASS</v>
      </c>
      <c r="I172" s="53" t="str">
        <f>Table_8_UK!N105&amp;", "&amp;Table_1_UK!H19</f>
        <v>33014, 33014</v>
      </c>
      <c r="J172" s="54"/>
      <c r="K172" s="123"/>
      <c r="L172" s="54"/>
      <c r="M172" s="54"/>
      <c r="N172" s="36">
        <f t="shared" si="7"/>
        <v>0</v>
      </c>
      <c r="O172" s="36">
        <f t="shared" si="6"/>
        <v>0</v>
      </c>
    </row>
    <row r="173" spans="1:15" s="52" customFormat="1" ht="16.5" customHeight="1" x14ac:dyDescent="0.2">
      <c r="A173" s="116" t="s">
        <v>620</v>
      </c>
      <c r="B173" s="609" t="s">
        <v>621</v>
      </c>
      <c r="C173" s="609"/>
      <c r="D173" s="609"/>
      <c r="E173" s="609" t="s">
        <v>613</v>
      </c>
      <c r="F173" s="609"/>
      <c r="G173" s="121" t="s">
        <v>204</v>
      </c>
      <c r="H173" s="101" t="str">
        <f>IF(Table_8_UK!L105&lt;&gt;Table_1_UK!H17,"FAIL","PASS")</f>
        <v>PASS</v>
      </c>
      <c r="I173" s="53" t="str">
        <f>Table_8_UK!L105&amp;", "&amp;Table_1_UK!H17</f>
        <v>383033, 383033</v>
      </c>
      <c r="J173" s="54"/>
      <c r="K173" s="123"/>
      <c r="L173" s="54"/>
      <c r="M173" s="54"/>
      <c r="N173" s="36">
        <f t="shared" si="7"/>
        <v>0</v>
      </c>
      <c r="O173" s="36">
        <f t="shared" ref="O173:O184" si="8">IF(AND(G173="Warning",H173="FAIL"),1,0)</f>
        <v>0</v>
      </c>
    </row>
    <row r="174" spans="1:15" s="52" customFormat="1" ht="16.5" customHeight="1" x14ac:dyDescent="0.2">
      <c r="A174" s="116" t="s">
        <v>622</v>
      </c>
      <c r="B174" s="609" t="s">
        <v>623</v>
      </c>
      <c r="C174" s="609"/>
      <c r="D174" s="609"/>
      <c r="E174" s="609" t="s">
        <v>616</v>
      </c>
      <c r="F174" s="609"/>
      <c r="G174" s="121" t="s">
        <v>204</v>
      </c>
      <c r="H174" s="101" t="str">
        <f>IF(Table_8_UK!M105&lt;&gt;Table_1_UK!H18,"FAIL","PASS")</f>
        <v>PASS</v>
      </c>
      <c r="I174" s="53" t="str">
        <f>Table_8_UK!M105&amp;", "&amp;Table_1_UK!H18</f>
        <v>63758, 63758</v>
      </c>
      <c r="J174" s="54"/>
      <c r="K174" s="123"/>
      <c r="L174" s="54"/>
      <c r="M174" s="54"/>
      <c r="N174" s="36">
        <f t="shared" si="7"/>
        <v>0</v>
      </c>
      <c r="O174" s="36">
        <f t="shared" si="8"/>
        <v>0</v>
      </c>
    </row>
    <row r="175" spans="1:15" s="52" customFormat="1" ht="18" customHeight="1" x14ac:dyDescent="0.2">
      <c r="A175" s="116" t="s">
        <v>624</v>
      </c>
      <c r="B175" s="609" t="s">
        <v>625</v>
      </c>
      <c r="C175" s="609"/>
      <c r="D175" s="609"/>
      <c r="E175" s="609" t="s">
        <v>619</v>
      </c>
      <c r="F175" s="609"/>
      <c r="G175" s="121" t="s">
        <v>204</v>
      </c>
      <c r="H175" s="101" t="str">
        <f>IF(Table_8_UK!N105&lt;&gt;Table_1_UK!H19,"FAIL","PASS")</f>
        <v>PASS</v>
      </c>
      <c r="I175" s="53" t="str">
        <f>Table_8_UK!N105&amp;", "&amp;Table_1_UK!H19</f>
        <v>33014, 33014</v>
      </c>
      <c r="J175" s="54"/>
      <c r="K175" s="123"/>
      <c r="L175" s="54"/>
      <c r="M175" s="54"/>
      <c r="N175" s="36">
        <f t="shared" si="7"/>
        <v>0</v>
      </c>
      <c r="O175" s="36">
        <f t="shared" si="8"/>
        <v>0</v>
      </c>
    </row>
    <row r="176" spans="1:15" s="52" customFormat="1" ht="18.95" customHeight="1" x14ac:dyDescent="0.2">
      <c r="A176" s="116" t="s">
        <v>626</v>
      </c>
      <c r="B176" s="609" t="s">
        <v>627</v>
      </c>
      <c r="C176" s="609"/>
      <c r="D176" s="609"/>
      <c r="E176" s="609" t="s">
        <v>613</v>
      </c>
      <c r="F176" s="609"/>
      <c r="G176" s="101" t="s">
        <v>197</v>
      </c>
      <c r="H176" s="101" t="str">
        <f>IF(AND(Table_1_UK!H17=0,Table_8_UK!L105=0),"PASS",IF(AND(Table_8_UK!L105&gt;0,Table_1_UK!H17=0),"FAIL","PASS"))</f>
        <v>PASS</v>
      </c>
      <c r="I176" s="53" t="str">
        <f>Table_8_UK!L105&amp;", "&amp;Table_1_UK!H17</f>
        <v>383033, 383033</v>
      </c>
      <c r="J176" s="54"/>
      <c r="K176" s="123"/>
      <c r="L176" s="54"/>
      <c r="M176" s="54"/>
      <c r="N176" s="36">
        <f t="shared" si="7"/>
        <v>0</v>
      </c>
      <c r="O176" s="36">
        <f t="shared" si="8"/>
        <v>0</v>
      </c>
    </row>
    <row r="177" spans="1:15" s="52" customFormat="1" ht="17.25" customHeight="1" x14ac:dyDescent="0.2">
      <c r="A177" s="116" t="s">
        <v>628</v>
      </c>
      <c r="B177" s="609" t="s">
        <v>629</v>
      </c>
      <c r="C177" s="609"/>
      <c r="D177" s="609"/>
      <c r="E177" s="609" t="s">
        <v>616</v>
      </c>
      <c r="F177" s="609"/>
      <c r="G177" s="101" t="s">
        <v>197</v>
      </c>
      <c r="H177" s="101" t="str">
        <f>IF(AND(Table_1_UK!H18=0,Table_8_UK!M105=0),"PASS",IF(AND(Table_8_UK!M105&gt;0,Table_1_UK!H18=0),"FAIL","PASS"))</f>
        <v>PASS</v>
      </c>
      <c r="I177" s="53" t="str">
        <f>Table_8_UK!M105&amp;", "&amp;Table_1_UK!H18</f>
        <v>63758, 63758</v>
      </c>
      <c r="J177" s="54"/>
      <c r="K177" s="123"/>
      <c r="L177" s="54"/>
      <c r="M177" s="54"/>
      <c r="N177" s="36">
        <f t="shared" si="7"/>
        <v>0</v>
      </c>
      <c r="O177" s="36">
        <f t="shared" si="8"/>
        <v>0</v>
      </c>
    </row>
    <row r="178" spans="1:15" s="52" customFormat="1" ht="28.5" customHeight="1" x14ac:dyDescent="0.2">
      <c r="A178" s="116" t="s">
        <v>630</v>
      </c>
      <c r="B178" s="609" t="s">
        <v>631</v>
      </c>
      <c r="C178" s="609"/>
      <c r="D178" s="609"/>
      <c r="E178" s="609" t="s">
        <v>619</v>
      </c>
      <c r="F178" s="609"/>
      <c r="G178" s="101" t="s">
        <v>197</v>
      </c>
      <c r="H178" s="101" t="str">
        <f>IF(AND(Table_1_UK!H19=0,Table_8_UK!N105=0),"PASS",IF(AND(Table_8_UK!N105&gt;0,Table_1_UK!H19=0),"FAIL","PASS"))</f>
        <v>PASS</v>
      </c>
      <c r="I178" s="53" t="str">
        <f>Table_8_UK!N105&amp;", "&amp;Table_1_UK!H19</f>
        <v>33014, 33014</v>
      </c>
      <c r="J178" s="54"/>
      <c r="K178" s="123"/>
      <c r="L178" s="54"/>
      <c r="M178" s="54"/>
      <c r="N178" s="36">
        <f t="shared" si="7"/>
        <v>0</v>
      </c>
      <c r="O178" s="36">
        <f t="shared" si="8"/>
        <v>0</v>
      </c>
    </row>
    <row r="179" spans="1:15" s="52" customFormat="1" ht="16.5" customHeight="1" x14ac:dyDescent="0.2">
      <c r="A179" s="116" t="s">
        <v>632</v>
      </c>
      <c r="B179" s="609" t="s">
        <v>633</v>
      </c>
      <c r="C179" s="609"/>
      <c r="D179" s="609"/>
      <c r="E179" s="609" t="s">
        <v>634</v>
      </c>
      <c r="F179" s="609"/>
      <c r="G179" s="101" t="s">
        <v>197</v>
      </c>
      <c r="H179" s="101" t="str">
        <f>IF(AND(Table_8_UK!J105&gt;0,(Table_8_UK!J105&lt;&gt;Table_1_UK!H15)),"FAIL","PASS")</f>
        <v>PASS</v>
      </c>
      <c r="I179" s="53" t="str">
        <f>Table_8_UK!J105&amp;", "&amp;Table_1_UK!H15</f>
        <v>756130, 756130</v>
      </c>
      <c r="J179" s="54"/>
      <c r="K179" s="123"/>
      <c r="L179" s="54"/>
      <c r="M179" s="54"/>
      <c r="N179" s="36">
        <f t="shared" si="7"/>
        <v>0</v>
      </c>
      <c r="O179" s="36">
        <f t="shared" si="8"/>
        <v>0</v>
      </c>
    </row>
    <row r="180" spans="1:15" s="52" customFormat="1" ht="29.25" customHeight="1" x14ac:dyDescent="0.2">
      <c r="A180" s="116" t="s">
        <v>635</v>
      </c>
      <c r="B180" s="609" t="s">
        <v>636</v>
      </c>
      <c r="C180" s="609"/>
      <c r="D180" s="609"/>
      <c r="E180" s="609" t="s">
        <v>637</v>
      </c>
      <c r="F180" s="609"/>
      <c r="G180" s="101" t="s">
        <v>197</v>
      </c>
      <c r="H180" s="101" t="str">
        <f>IF(AND(Table_8_UK!K105&gt;0,(Table_8_UK!K105&lt;&gt;Table_1_UK!H16)),"FAIL","PASS")</f>
        <v>PASS</v>
      </c>
      <c r="I180" s="53" t="str">
        <f>Table_8_UK!K105&amp;", "&amp;Table_1_UK!H16</f>
        <v>0, 0</v>
      </c>
      <c r="J180" s="54"/>
      <c r="K180" s="123"/>
      <c r="L180" s="54"/>
      <c r="M180" s="54"/>
      <c r="N180" s="36">
        <f t="shared" si="7"/>
        <v>0</v>
      </c>
      <c r="O180" s="36">
        <f t="shared" si="8"/>
        <v>0</v>
      </c>
    </row>
    <row r="181" spans="1:15" s="52" customFormat="1" ht="15.4" customHeight="1" x14ac:dyDescent="0.2">
      <c r="A181" s="116" t="s">
        <v>638</v>
      </c>
      <c r="B181" s="609" t="s">
        <v>639</v>
      </c>
      <c r="C181" s="609"/>
      <c r="D181" s="609"/>
      <c r="E181" s="609" t="s">
        <v>634</v>
      </c>
      <c r="F181" s="609"/>
      <c r="G181" s="101" t="s">
        <v>204</v>
      </c>
      <c r="H181" s="101" t="str">
        <f>IF(Table_8_UK!J105&lt;&gt;Table_1_UK!H15,"FAIL","PASS")</f>
        <v>PASS</v>
      </c>
      <c r="I181" s="53" t="str">
        <f>Table_8_UK!J105&amp;", "&amp;Table_1_UK!H15</f>
        <v>756130, 756130</v>
      </c>
      <c r="J181" s="54"/>
      <c r="K181" s="123"/>
      <c r="L181" s="54"/>
      <c r="M181" s="54"/>
      <c r="N181" s="36">
        <f t="shared" si="7"/>
        <v>0</v>
      </c>
      <c r="O181" s="36">
        <f t="shared" si="8"/>
        <v>0</v>
      </c>
    </row>
    <row r="182" spans="1:15" s="52" customFormat="1" ht="19.350000000000001" customHeight="1" x14ac:dyDescent="0.2">
      <c r="A182" s="116" t="s">
        <v>640</v>
      </c>
      <c r="B182" s="609" t="s">
        <v>641</v>
      </c>
      <c r="C182" s="609"/>
      <c r="D182" s="609"/>
      <c r="E182" s="609" t="s">
        <v>637</v>
      </c>
      <c r="F182" s="609"/>
      <c r="G182" s="101" t="s">
        <v>204</v>
      </c>
      <c r="H182" s="101" t="str">
        <f>IF(Table_8_UK!K105&lt;&gt;Table_1_UK!H16,"FAIL","PASS")</f>
        <v>PASS</v>
      </c>
      <c r="I182" s="53" t="str">
        <f>Table_8_UK!K105&amp;", "&amp;Table_1_UK!H16</f>
        <v>0, 0</v>
      </c>
      <c r="J182" s="54"/>
      <c r="K182" s="123"/>
      <c r="L182" s="54"/>
      <c r="M182" s="54"/>
      <c r="N182" s="36">
        <f t="shared" si="7"/>
        <v>0</v>
      </c>
      <c r="O182" s="36">
        <f t="shared" si="8"/>
        <v>0</v>
      </c>
    </row>
    <row r="183" spans="1:15" s="52" customFormat="1" ht="15.4" customHeight="1" x14ac:dyDescent="0.2">
      <c r="A183" s="116" t="s">
        <v>642</v>
      </c>
      <c r="B183" s="609" t="s">
        <v>643</v>
      </c>
      <c r="C183" s="609"/>
      <c r="D183" s="609"/>
      <c r="E183" s="609" t="s">
        <v>634</v>
      </c>
      <c r="F183" s="609"/>
      <c r="G183" s="101" t="s">
        <v>197</v>
      </c>
      <c r="H183" s="101" t="str">
        <f>IF(AND(Table_1_UK!H15=0,Table_8_UK!J105=0),"PASS",IF(AND(Table_8_UK!J105&gt;0,Table_1_UK!H15=0),"FAIL","PASS"))</f>
        <v>PASS</v>
      </c>
      <c r="I183" s="53" t="str">
        <f>Table_8_UK!J105&amp;", "&amp;Table_1_UK!H15</f>
        <v>756130, 756130</v>
      </c>
      <c r="J183" s="54"/>
      <c r="K183" s="123"/>
      <c r="L183" s="54"/>
      <c r="M183" s="54"/>
      <c r="N183" s="36">
        <f t="shared" si="7"/>
        <v>0</v>
      </c>
      <c r="O183" s="36">
        <f t="shared" si="8"/>
        <v>0</v>
      </c>
    </row>
    <row r="184" spans="1:15" s="52" customFormat="1" ht="25.5" customHeight="1" x14ac:dyDescent="0.2">
      <c r="A184" s="116" t="s">
        <v>644</v>
      </c>
      <c r="B184" s="609" t="s">
        <v>645</v>
      </c>
      <c r="C184" s="609"/>
      <c r="D184" s="609"/>
      <c r="E184" s="609" t="s">
        <v>637</v>
      </c>
      <c r="F184" s="609"/>
      <c r="G184" s="101" t="s">
        <v>197</v>
      </c>
      <c r="H184" s="101" t="str">
        <f>IF(AND(Table_8_UK!K105&gt;0,(Table_8_UK!K105&lt;&gt;Table_1_UK!H16)),"FAIL","PASS")</f>
        <v>PASS</v>
      </c>
      <c r="I184" s="53" t="str">
        <f>Table_8_UK!K105&amp;", "&amp;Table_1_UK!H16</f>
        <v>0, 0</v>
      </c>
      <c r="J184" s="54"/>
      <c r="K184" s="123"/>
      <c r="L184" s="54"/>
      <c r="M184" s="54"/>
      <c r="N184" s="36">
        <f t="shared" si="7"/>
        <v>0</v>
      </c>
      <c r="O184" s="36">
        <f t="shared" si="8"/>
        <v>0</v>
      </c>
    </row>
    <row r="185" spans="1:15" customFormat="1" ht="21.4" customHeight="1" x14ac:dyDescent="0.25">
      <c r="A185" s="116" t="s">
        <v>646</v>
      </c>
      <c r="B185" s="613" t="s">
        <v>647</v>
      </c>
      <c r="C185" s="613"/>
      <c r="D185" s="613"/>
      <c r="E185" s="609" t="s">
        <v>648</v>
      </c>
      <c r="F185" s="609"/>
      <c r="G185" s="115" t="s">
        <v>204</v>
      </c>
      <c r="H185" s="117" t="str">
        <f>IF(Table_8_UK!O59=0,"FAIL","PASS")</f>
        <v>PASS</v>
      </c>
      <c r="I185" s="118">
        <f>Table_8_UK!O59</f>
        <v>12665</v>
      </c>
      <c r="K185" s="99"/>
      <c r="N185" s="36">
        <f t="shared" si="7"/>
        <v>0</v>
      </c>
    </row>
    <row r="186" spans="1:15" customFormat="1" ht="16.5" customHeight="1" x14ac:dyDescent="0.25">
      <c r="A186" s="116" t="s">
        <v>649</v>
      </c>
      <c r="B186" s="609" t="s">
        <v>650</v>
      </c>
      <c r="C186" s="609"/>
      <c r="D186" s="609"/>
      <c r="E186" s="609" t="s">
        <v>651</v>
      </c>
      <c r="F186" s="609"/>
      <c r="G186" s="100" t="s">
        <v>204</v>
      </c>
      <c r="H186" s="101" t="str">
        <f>IF(Table_9_UK!H6&gt;=0,"PASS","FAIL")</f>
        <v>PASS</v>
      </c>
      <c r="I186" s="67">
        <f>Table_9_UK!H6</f>
        <v>3410</v>
      </c>
      <c r="K186" s="105"/>
      <c r="N186" s="36">
        <f t="shared" si="7"/>
        <v>0</v>
      </c>
      <c r="O186" s="36">
        <f t="shared" ref="O186:O229" si="9">IF(AND(G186="Warning",H186="FAIL"),1,0)</f>
        <v>0</v>
      </c>
    </row>
    <row r="187" spans="1:15" customFormat="1" ht="16.5" customHeight="1" x14ac:dyDescent="0.25">
      <c r="A187" s="116" t="s">
        <v>652</v>
      </c>
      <c r="B187" s="609" t="s">
        <v>653</v>
      </c>
      <c r="C187" s="609"/>
      <c r="D187" s="609"/>
      <c r="E187" s="609" t="s">
        <v>654</v>
      </c>
      <c r="F187" s="609"/>
      <c r="G187" s="100" t="s">
        <v>204</v>
      </c>
      <c r="H187" s="101" t="str">
        <f>IF(Table_9_UK!H7&gt;=0,"PASS","FAIL")</f>
        <v>PASS</v>
      </c>
      <c r="I187" s="67">
        <f>Table_9_UK!H7</f>
        <v>0</v>
      </c>
      <c r="K187" s="105"/>
      <c r="N187" s="36">
        <f t="shared" si="7"/>
        <v>0</v>
      </c>
      <c r="O187" s="36">
        <f t="shared" si="9"/>
        <v>0</v>
      </c>
    </row>
    <row r="188" spans="1:15" customFormat="1" ht="16.5" customHeight="1" x14ac:dyDescent="0.25">
      <c r="A188" s="116" t="s">
        <v>655</v>
      </c>
      <c r="B188" s="609" t="s">
        <v>656</v>
      </c>
      <c r="C188" s="609"/>
      <c r="D188" s="609"/>
      <c r="E188" s="609" t="s">
        <v>657</v>
      </c>
      <c r="F188" s="609"/>
      <c r="G188" s="100" t="s">
        <v>204</v>
      </c>
      <c r="H188" s="101" t="str">
        <f>IF(Table_9_UK!H10&gt;=0,"PASS","FAIL")</f>
        <v>PASS</v>
      </c>
      <c r="I188" s="67">
        <f>Table_9_UK!H10</f>
        <v>0</v>
      </c>
      <c r="K188" s="105"/>
      <c r="N188" s="36">
        <f t="shared" si="7"/>
        <v>0</v>
      </c>
      <c r="O188" s="36">
        <f t="shared" si="9"/>
        <v>0</v>
      </c>
    </row>
    <row r="189" spans="1:15" customFormat="1" ht="16.5" customHeight="1" x14ac:dyDescent="0.25">
      <c r="A189" s="116" t="s">
        <v>658</v>
      </c>
      <c r="B189" s="609" t="s">
        <v>659</v>
      </c>
      <c r="C189" s="609"/>
      <c r="D189" s="609"/>
      <c r="E189" s="609" t="s">
        <v>660</v>
      </c>
      <c r="F189" s="609"/>
      <c r="G189" s="100" t="s">
        <v>204</v>
      </c>
      <c r="H189" s="101" t="str">
        <f>IF(Table_9_UK!H11&gt;=0,"PASS","FAIL")</f>
        <v>PASS</v>
      </c>
      <c r="I189" s="67">
        <f>Table_9_UK!H11</f>
        <v>0</v>
      </c>
      <c r="K189" s="105"/>
      <c r="N189" s="36">
        <f t="shared" si="7"/>
        <v>0</v>
      </c>
      <c r="O189" s="36">
        <f t="shared" si="9"/>
        <v>0</v>
      </c>
    </row>
    <row r="190" spans="1:15" customFormat="1" ht="16.5" customHeight="1" x14ac:dyDescent="0.25">
      <c r="A190" s="116" t="s">
        <v>661</v>
      </c>
      <c r="B190" s="609" t="s">
        <v>662</v>
      </c>
      <c r="C190" s="609"/>
      <c r="D190" s="609"/>
      <c r="E190" s="609" t="s">
        <v>663</v>
      </c>
      <c r="F190" s="609"/>
      <c r="G190" s="100" t="s">
        <v>204</v>
      </c>
      <c r="H190" s="101" t="str">
        <f>IF(Table_9_UK!H14&gt;=0,"PASS","FAIL")</f>
        <v>PASS</v>
      </c>
      <c r="I190" s="67">
        <f>Table_9_UK!H14</f>
        <v>116163</v>
      </c>
      <c r="N190" s="36">
        <f t="shared" si="7"/>
        <v>0</v>
      </c>
      <c r="O190" s="36">
        <f t="shared" si="9"/>
        <v>0</v>
      </c>
    </row>
    <row r="191" spans="1:15" customFormat="1" ht="16.5" customHeight="1" x14ac:dyDescent="0.25">
      <c r="A191" s="116" t="s">
        <v>664</v>
      </c>
      <c r="B191" s="609" t="s">
        <v>665</v>
      </c>
      <c r="C191" s="609"/>
      <c r="D191" s="609"/>
      <c r="E191" s="609" t="s">
        <v>666</v>
      </c>
      <c r="F191" s="609"/>
      <c r="G191" s="100" t="s">
        <v>204</v>
      </c>
      <c r="H191" s="101" t="str">
        <f>IF(Table_9_UK!H15&gt;=0,"PASS","FAIL")</f>
        <v>PASS</v>
      </c>
      <c r="I191" s="67">
        <f>Table_9_UK!H15</f>
        <v>22918</v>
      </c>
      <c r="N191" s="36">
        <f t="shared" si="7"/>
        <v>0</v>
      </c>
      <c r="O191" s="36">
        <f t="shared" si="9"/>
        <v>0</v>
      </c>
    </row>
    <row r="192" spans="1:15" customFormat="1" ht="16.5" customHeight="1" x14ac:dyDescent="0.25">
      <c r="A192" s="116" t="s">
        <v>667</v>
      </c>
      <c r="B192" s="609" t="s">
        <v>668</v>
      </c>
      <c r="C192" s="609"/>
      <c r="D192" s="609"/>
      <c r="E192" s="609" t="s">
        <v>669</v>
      </c>
      <c r="F192" s="609"/>
      <c r="G192" s="100" t="s">
        <v>204</v>
      </c>
      <c r="H192" s="101" t="str">
        <f>IF(Table_9_UK!H17&gt;=0,"PASS","FAIL")</f>
        <v>PASS</v>
      </c>
      <c r="I192" s="67">
        <f>Table_9_UK!H17</f>
        <v>142491</v>
      </c>
      <c r="N192" s="36">
        <f t="shared" si="7"/>
        <v>0</v>
      </c>
      <c r="O192" s="36">
        <f t="shared" si="9"/>
        <v>0</v>
      </c>
    </row>
    <row r="193" spans="1:15" customFormat="1" ht="18" customHeight="1" x14ac:dyDescent="0.25">
      <c r="A193" s="116" t="s">
        <v>670</v>
      </c>
      <c r="B193" s="609" t="s">
        <v>671</v>
      </c>
      <c r="C193" s="609"/>
      <c r="D193" s="609"/>
      <c r="E193" s="609" t="s">
        <v>672</v>
      </c>
      <c r="F193" s="609"/>
      <c r="G193" s="100" t="s">
        <v>197</v>
      </c>
      <c r="H193" s="124" t="str">
        <f>IF(OR(Table_9_UK!H6&gt;400000,Table_9_UK!H7&gt;400000,Table_9_UK!H10&gt;400000,Table_9_UK!H11&gt;400000,Table_9_UK!H14&gt;400000,Table_9_UK!H15&gt;400000),"FAIL","PASS")</f>
        <v>PASS</v>
      </c>
      <c r="I193" s="67" t="str">
        <f>Table_9_UK!H6&amp;", "&amp;Table_9_UK!H7&amp;", "&amp;Table_9_UK!H10&amp;", "&amp;Table_9_UK!H11&amp;", "&amp;Table_9_UK!H14&amp;", "&amp;Table_9_UK!H15</f>
        <v>3410, 0, 0, 0, 116163, 22918</v>
      </c>
      <c r="J193" s="125"/>
      <c r="K193" s="125"/>
      <c r="N193" s="36">
        <f t="shared" si="7"/>
        <v>0</v>
      </c>
      <c r="O193" s="36">
        <f t="shared" si="9"/>
        <v>0</v>
      </c>
    </row>
    <row r="194" spans="1:15" customFormat="1" ht="16.5" customHeight="1" x14ac:dyDescent="0.25">
      <c r="A194" s="116" t="s">
        <v>673</v>
      </c>
      <c r="B194" s="609" t="s">
        <v>674</v>
      </c>
      <c r="C194" s="609"/>
      <c r="D194" s="609"/>
      <c r="E194" s="609" t="s">
        <v>675</v>
      </c>
      <c r="F194" s="609"/>
      <c r="G194" s="101" t="s">
        <v>204</v>
      </c>
      <c r="H194" s="101" t="str">
        <f>IF(AND(Table_9_UK!I6=0,Table_9_UK!I7=0),"PASS","FAIL")</f>
        <v>PASS</v>
      </c>
      <c r="I194" s="67" t="str">
        <f>Table_9_UK!I6&amp;", "&amp;Table_9_UK!I7</f>
        <v>0, 0</v>
      </c>
      <c r="N194" s="36">
        <f t="shared" si="7"/>
        <v>0</v>
      </c>
      <c r="O194" s="36">
        <f t="shared" si="9"/>
        <v>0</v>
      </c>
    </row>
    <row r="195" spans="1:15" customFormat="1" ht="16.5" customHeight="1" x14ac:dyDescent="0.25">
      <c r="A195" s="116" t="s">
        <v>676</v>
      </c>
      <c r="B195" s="609" t="s">
        <v>677</v>
      </c>
      <c r="C195" s="609"/>
      <c r="D195" s="609"/>
      <c r="E195" s="609" t="s">
        <v>678</v>
      </c>
      <c r="F195" s="609"/>
      <c r="G195" s="101" t="s">
        <v>204</v>
      </c>
      <c r="H195" s="101" t="str">
        <f>IF(AND(Table_9_UK!I10=0,Table_9_UK!I11=0),"PASS","FAIL")</f>
        <v>PASS</v>
      </c>
      <c r="I195" s="67" t="str">
        <f>Table_9_UK!I10&amp;", "&amp;Table_9_UK!I11</f>
        <v>0, 0</v>
      </c>
      <c r="K195" s="105"/>
      <c r="N195" s="36">
        <f t="shared" si="7"/>
        <v>0</v>
      </c>
      <c r="O195" s="36">
        <f t="shared" si="9"/>
        <v>0</v>
      </c>
    </row>
    <row r="196" spans="1:15" customFormat="1" ht="26.25" customHeight="1" x14ac:dyDescent="0.25">
      <c r="A196" s="116" t="s">
        <v>679</v>
      </c>
      <c r="B196" s="609" t="s">
        <v>680</v>
      </c>
      <c r="C196" s="609"/>
      <c r="D196" s="609"/>
      <c r="E196" s="609" t="s">
        <v>681</v>
      </c>
      <c r="F196" s="609"/>
      <c r="G196" s="101" t="s">
        <v>204</v>
      </c>
      <c r="H196" s="117" t="str">
        <f>IF(AND(B4="W",OR(Table_7_Wales!H12&gt;0,Table_7_Wales!H13&gt;0),Table_9_UK!I17=0),"FAIL","PASS")</f>
        <v>PASS</v>
      </c>
      <c r="I196" s="67" t="str">
        <f>Table_9_UK!I17&amp;", "&amp;Table_7_Wales!H12&amp;", "&amp;Table_7_Wales!H13</f>
        <v>14708, 0, 0</v>
      </c>
      <c r="K196" s="105"/>
      <c r="N196" s="36">
        <f t="shared" si="7"/>
        <v>0</v>
      </c>
      <c r="O196" s="36">
        <f t="shared" si="9"/>
        <v>0</v>
      </c>
    </row>
    <row r="197" spans="1:15" customFormat="1" ht="18.95" customHeight="1" x14ac:dyDescent="0.25">
      <c r="A197" s="116" t="s">
        <v>682</v>
      </c>
      <c r="B197" s="609" t="s">
        <v>683</v>
      </c>
      <c r="C197" s="609"/>
      <c r="D197" s="609"/>
      <c r="E197" s="609" t="s">
        <v>684</v>
      </c>
      <c r="F197" s="609"/>
      <c r="G197" s="101" t="s">
        <v>204</v>
      </c>
      <c r="H197" s="117" t="str">
        <f>IF(AND(B4="S",Table_7_Scotland!H11,Table_9_UK!I17=0),"FAIL","PASS")</f>
        <v>PASS</v>
      </c>
      <c r="I197" s="67" t="str">
        <f>Table_9_UK!I17&amp;", "&amp;Table_7_Scotland!H11</f>
        <v>14708, 7045</v>
      </c>
      <c r="K197" s="105"/>
      <c r="N197" s="36">
        <f t="shared" si="7"/>
        <v>0</v>
      </c>
      <c r="O197" s="36">
        <f t="shared" si="9"/>
        <v>0</v>
      </c>
    </row>
    <row r="198" spans="1:15" customFormat="1" ht="18.399999999999999" customHeight="1" x14ac:dyDescent="0.25">
      <c r="A198" s="116" t="s">
        <v>685</v>
      </c>
      <c r="B198" s="609" t="s">
        <v>686</v>
      </c>
      <c r="C198" s="609"/>
      <c r="D198" s="609"/>
      <c r="E198" s="609" t="s">
        <v>687</v>
      </c>
      <c r="F198" s="609"/>
      <c r="G198" s="101" t="s">
        <v>204</v>
      </c>
      <c r="H198" s="117" t="str">
        <f>IF(AND(B4="N",Table_7_N_Ireland!H9&gt;0,Table_9_UK!I17=0),"FAIL","PASS")</f>
        <v>PASS</v>
      </c>
      <c r="I198" s="67" t="str">
        <f>Table_9_UK!I17&amp;", "&amp;Table_7_N_Ireland!H9</f>
        <v>14708, 0</v>
      </c>
      <c r="K198" s="105"/>
      <c r="N198" s="36">
        <f t="shared" si="7"/>
        <v>0</v>
      </c>
      <c r="O198" s="36">
        <f t="shared" si="9"/>
        <v>0</v>
      </c>
    </row>
    <row r="199" spans="1:15" customFormat="1" ht="30" customHeight="1" x14ac:dyDescent="0.25">
      <c r="A199" s="116" t="s">
        <v>688</v>
      </c>
      <c r="B199" s="609" t="s">
        <v>689</v>
      </c>
      <c r="C199" s="609"/>
      <c r="D199" s="609"/>
      <c r="E199" s="609" t="s">
        <v>690</v>
      </c>
      <c r="F199" s="609"/>
      <c r="G199" s="101" t="s">
        <v>204</v>
      </c>
      <c r="H199" s="117" t="str">
        <f>IF(AND(Table_4_UK!H52+Table_4_UK!H53&gt;0,Table_9_UK!L17=0),"FAIL","PASS")</f>
        <v>PASS</v>
      </c>
      <c r="I199" s="67" t="str">
        <f>Table_4_UK!H52&amp;", "&amp;Table_4_UK!H53</f>
        <v>0, 260783</v>
      </c>
      <c r="K199" s="105"/>
      <c r="N199" s="36">
        <f t="shared" si="7"/>
        <v>0</v>
      </c>
      <c r="O199" s="36">
        <f t="shared" si="9"/>
        <v>0</v>
      </c>
    </row>
    <row r="200" spans="1:15" customFormat="1" ht="38.25" customHeight="1" x14ac:dyDescent="0.25">
      <c r="A200" s="116" t="s">
        <v>691</v>
      </c>
      <c r="B200" s="609" t="s">
        <v>692</v>
      </c>
      <c r="C200" s="609"/>
      <c r="D200" s="609"/>
      <c r="E200" s="609" t="s">
        <v>693</v>
      </c>
      <c r="F200" s="609"/>
      <c r="G200" s="101" t="s">
        <v>204</v>
      </c>
      <c r="H200" s="117" t="str">
        <f>IF(OR(AND(SUM(Table_10_UK!H6)&lt;&gt;0,ISBLANK(Table_10_UK!K6)),AND(SUM(Table_10_UK!H7)&lt;&gt;0,ISBLANK(Table_10_UK!K7)),AND(SUM(Table_10_UK!H8)&lt;&gt;0,ISBLANK(Table_10_UK!K8)),AND(SUM(Table_10_UK!H9)&lt;&gt;0,ISBLANK(Table_10_UK!K9)),AND(SUM(Table_10_UK!H10)&lt;&gt;0,ISBLANK(Table_10_UK!K10)),AND(SUM(Table_10_UK!H11)&lt;&gt;0,ISBLANK(Table_10_UK!K11)),AND(SUM(Table_10_UK!H15)&lt;&gt;0,ISBLANK(Table_10_UK!K15)),AND(SUM(Table_10_UK!H16)&lt;&gt;0,ISBLANK(Table_10_UK!K16)),AND(SUM(Table_10_UK!H17)&lt;&gt;0,ISBLANK(Table_10_UK!K17)),AND(SUM(Table_10_UK!H18)&lt;&gt;0,ISBLANK(Table_10_UK!K18)),AND(SUM(Table_10_UK!H19)&lt;&gt;0,ISBLANK(Table_10_UK!K19)),AND(SUM(Table_10_UK!H24)&lt;&gt;0,ISBLANK(Table_10_UK!K24)),AND(SUM(Table_10_UK!H25)&lt;&gt;0,ISBLANK(Table_10_UK!K25)),AND(SUM(Table_10_UK!H26)&lt;&gt;0,ISBLANK(Table_10_UK!K26)),AND(SUM(Table_10_UK!H27)&lt;&gt;0,ISBLANK(Table_10_UK!K27)),AND(SUM(Table_10_UK!H32)&lt;&gt;0,ISBLANK(Table_10_UK!K32)),AND(SUM(Table_10_UK!H33)&lt;&gt;0,ISBLANK(Table_10_UK!K33)),AND(SUM(Table_10_UK!H38)&lt;&gt;0,ISBLANK(Table_10_UK!K38)),AND(SUM(Table_10_UK!H39)&lt;&gt;0,ISBLANK(Table_10_UK!K39)),AND(SUM(Table_10_UK!H40)&lt;&gt;0,ISBLANK(Table_10_UK!K40)),AND(SUM(Table_10_UK!H41)&lt;&gt;0,ISBLANK(Table_10_UK!K41)),AND(SUM(Table_10_UK!H46)&lt;&gt;0,ISBLANK(Table_10_UK!K46)),AND(SUM(Table_10_UK!H47)&lt;&gt;0,ISBLANK(Table_10_UK!K47)),AND(SUM(Table_10_UK!H48)&lt;&gt;0,ISBLANK(Table_10_UK!K48)),AND(SUM(Table_10_UK!H49)&lt;&gt;0,ISBLANK(Table_10_UK!K49)),AND(SUM(Table_10_UK!H51)&lt;&gt;0,ISBLANK(Table_10_UK!K51)),AND(SUM(Table_10_UK!H55)&lt;&gt;0,ISBLANK(Table_10_UK!K55)),AND(SUM(Table_10_UK!H56)&lt;&gt;0,ISBLANK(Table_10_UK!K56))),"FAIL","PASS")</f>
        <v>PASS</v>
      </c>
      <c r="I200" s="67" t="str">
        <f>CONCATENATE(Table_10_UK!O6,Table_10_UK!O7,Table_10_UK!O8,Table_10_UK!O9,Table_10_UK!O10,Table_10_UK!O11,Table_10_UK!O15,Table_10_UK!O16,Table_10_UK!O17,Table_10_UK!O18,Table_10_UK!O19,Table_10_UK!O24,Table_10_UK!O25,Table_10_UK!O26,Table_10_UK!O27,Table_10_UK!O32,Table_10_UK!O33,Table_10_UK!O38,Table_10_UK!O39,Table_10_UK!O40,Table_10_UK!O41,Table_10_UK!O46,Table_10_UK!O47,Table_10_UK!O48,Table_10_UK!O49,Table_10_UK!O51,Table_10_UK!O55,Table_10_UK!O56)</f>
        <v/>
      </c>
      <c r="K200" s="105"/>
      <c r="N200" s="36">
        <f t="shared" si="7"/>
        <v>0</v>
      </c>
      <c r="O200" s="36">
        <f t="shared" si="9"/>
        <v>0</v>
      </c>
    </row>
    <row r="201" spans="1:15" customFormat="1" ht="34.35" customHeight="1" x14ac:dyDescent="0.25">
      <c r="A201" s="116" t="s">
        <v>694</v>
      </c>
      <c r="B201" s="609" t="s">
        <v>695</v>
      </c>
      <c r="C201" s="609"/>
      <c r="D201" s="609"/>
      <c r="E201" s="609" t="s">
        <v>696</v>
      </c>
      <c r="F201" s="609"/>
      <c r="G201" s="101" t="s">
        <v>204</v>
      </c>
      <c r="H201" s="117" t="str">
        <f>IF(OR(AND(SUM(Table_10_UK!H6)=0,NOT(ISBLANK(Table_10_UK!K6))),AND(SUM(Table_10_UK!H7)=0,NOT(ISBLANK(Table_10_UK!K7))),AND(SUM(Table_10_UK!H8)=0,NOT(ISBLANK(Table_10_UK!K8))),AND(SUM(Table_10_UK!H9)=0,NOT(ISBLANK(Table_10_UK!K9))),AND(SUM(Table_10_UK!H10)=0,NOT(ISBLANK(Table_10_UK!K10))),AND(SUM(Table_10_UK!H11)=0,NOT(ISBLANK(Table_10_UK!K11))),AND(SUM(Table_10_UK!H15)=0,NOT(ISBLANK(Table_10_UK!K15))),AND(SUM(Table_10_UK!H16)=0,NOT(ISBLANK(Table_10_UK!K16))),AND(SUM(Table_10_UK!H17)=0,NOT(ISBLANK(Table_10_UK!K17))),AND(SUM(Table_10_UK!H18)=0,NOT(ISBLANK(Table_10_UK!K18))),AND(SUM(Table_10_UK!H19)=0,NOT(ISBLANK(Table_10_UK!K19))),AND(SUM(Table_10_UK!H24)=0,NOT(ISBLANK(Table_10_UK!K24))),AND(SUM(Table_10_UK!H25)=0,NOT(ISBLANK(Table_10_UK!K25))),AND(SUM(Table_10_UK!H26)=0,NOT(ISBLANK(Table_10_UK!K26))),AND(SUM(Table_10_UK!H27)=0,NOT(ISBLANK(Table_10_UK!K27))),AND(SUM(Table_10_UK!H32)=0,NOT(ISBLANK(Table_10_UK!K32))),AND(SUM(Table_10_UK!H33)=0,NOT(ISBLANK(Table_10_UK!K33))),AND(SUM(Table_10_UK!H38)=0,NOT(ISBLANK(Table_10_UK!K38))),AND(SUM(Table_10_UK!H39)=0,NOT(ISBLANK(Table_10_UK!K39))),AND(SUM(Table_10_UK!H40)=0,NOT(ISBLANK(Table_10_UK!K40))),AND(SUM(Table_10_UK!H41)=0,NOT(ISBLANK(Table_10_UK!K41))),AND(SUM(Table_10_UK!H46)=0,NOT(ISBLANK(Table_10_UK!K46))),AND(SUM(Table_10_UK!H47)=0,NOT(ISBLANK(Table_10_UK!K47))),AND(SUM(Table_10_UK!H48)=0,NOT(ISBLANK(Table_10_UK!K48))),AND(SUM(Table_10_UK!H49)=0,NOT(ISBLANK(Table_10_UK!K49))),AND(SUM(Table_10_UK!H51)=0,NOT(ISBLANK(Table_10_UK!K51))),AND(SUM(Table_10_UK!H55)=0,NOT(ISBLANK(Table_10_UK!K55))),AND(SUM(Table_10_UK!H56)=0,NOT(ISBLANK(Table_10_UK!K56)))), "FAIL","PASS")</f>
        <v>PASS</v>
      </c>
      <c r="I201" s="67" t="str">
        <f>CONCATENATE(Table_10_UK!R6,Table_10_UK!R7,Table_10_UK!R8,Table_10_UK!R9,Table_10_UK!R10,Table_10_UK!R11,Table_10_UK!R15,Table_10_UK!R16,Table_10_UK!R17,Table_10_UK!R18,Table_10_UK!R19,Table_10_UK!R24,Table_10_UK!R25,Table_10_UK!R26,Table_10_UK!R27,Table_10_UK!R32,Table_10_UK!R33,Table_10_UK!R38,Table_10_UK!R39,Table_10_UK!R40,Table_10_UK!R41,Table_10_UK!R46,Table_10_UK!R47,Table_10_UK!R48,Table_10_UK!R49,Table_10_UK!R51,Table_10_UK!R55,Table_10_UK!R56)</f>
        <v/>
      </c>
      <c r="K201" s="105"/>
      <c r="N201" s="36">
        <f t="shared" si="7"/>
        <v>0</v>
      </c>
      <c r="O201" s="36">
        <f t="shared" si="9"/>
        <v>0</v>
      </c>
    </row>
    <row r="202" spans="1:15" customFormat="1" ht="36" customHeight="1" x14ac:dyDescent="0.25">
      <c r="A202" s="116" t="s">
        <v>697</v>
      </c>
      <c r="B202" s="609" t="s">
        <v>698</v>
      </c>
      <c r="C202" s="609"/>
      <c r="D202" s="609"/>
      <c r="E202" s="609" t="s">
        <v>699</v>
      </c>
      <c r="F202" s="609"/>
      <c r="G202" s="101" t="s">
        <v>204</v>
      </c>
      <c r="H202" s="117" t="str">
        <f>IF(OR(AND(SUM(Table_10_UK!I6)&lt;&gt;0,ISBLANK(Table_10_UK!L6)),AND(SUM(Table_10_UK!I7)&lt;&gt;0,ISBLANK(Table_10_UK!L7)),AND(SUM(Table_10_UK!I8)&lt;&gt;0,ISBLANK(Table_10_UK!L8)),AND(SUM(Table_10_UK!I9)&lt;&gt;0,ISBLANK(Table_10_UK!L9)),AND(SUM(Table_10_UK!I10)&lt;&gt;0,ISBLANK(Table_10_UK!L10)),AND(SUM(Table_10_UK!I11)&lt;&gt;0,ISBLANK(Table_10_UK!L11)),AND(SUM(Table_10_UK!I15)&lt;&gt;0,ISBLANK(Table_10_UK!L15)),AND(SUM(Table_10_UK!I16)&lt;&gt;0,ISBLANK(Table_10_UK!L16)),AND(SUM(Table_10_UK!I17)&lt;&gt;0,ISBLANK(Table_10_UK!L17)),AND(SUM(Table_10_UK!I18)&lt;&gt;0,ISBLANK(Table_10_UK!L18)),AND(SUM(Table_10_UK!I19)&lt;&gt;0,ISBLANK(Table_10_UK!L19)),AND(SUM(Table_10_UK!I24)&lt;&gt;0,ISBLANK(Table_10_UK!L24)),AND(SUM(Table_10_UK!I25)&lt;&gt;0,ISBLANK(Table_10_UK!L25)),AND(SUM(Table_10_UK!I26)&lt;&gt;0,ISBLANK(Table_10_UK!L26)),AND(SUM(Table_10_UK!I27)&lt;&gt;0,ISBLANK(Table_10_UK!L27)),AND(SUM(Table_10_UK!I32)&lt;&gt;0,ISBLANK(Table_10_UK!L32)),AND(SUM(Table_10_UK!I33)&lt;&gt;0,ISBLANK(Table_10_UK!L33)),AND(SUM(Table_10_UK!I38)&lt;&gt;0,ISBLANK(Table_10_UK!L38)),AND(SUM(Table_10_UK!I39)&lt;&gt;0,ISBLANK(Table_10_UK!L39)),AND(SUM(Table_10_UK!I40)&lt;&gt;0,ISBLANK(Table_10_UK!L40)),AND(SUM(Table_10_UK!I41)&lt;&gt;0,ISBLANK(Table_10_UK!L41)),AND(SUM(Table_10_UK!I46)&lt;&gt;0,ISBLANK(Table_10_UK!L46)),AND(SUM(Table_10_UK!I47)&lt;&gt;0,ISBLANK(Table_10_UK!L47)),AND(SUM(Table_10_UK!I48)&lt;&gt;0,ISBLANK(Table_10_UK!L48)),AND(SUM(Table_10_UK!I49)&lt;&gt;0,ISBLANK(Table_10_UK!L49)),AND(SUM(Table_10_UK!I51)&lt;&gt;0,ISBLANK(Table_10_UK!L51)),AND(SUM(Table_10_UK!I55)&lt;&gt;0,ISBLANK(Table_10_UK!L55)),AND(SUM(Table_10_UK!I56)&lt;&gt;0,ISBLANK(Table_10_UK!L56))),"FAIL","PASS")</f>
        <v>PASS</v>
      </c>
      <c r="I202" s="67" t="str">
        <f>CONCATENATE(Table_10_UK!U6,Table_10_UK!U7,Table_10_UK!U8,Table_10_UK!U9,Table_10_UK!U10,Table_10_UK!U11,Table_10_UK!U15,Table_10_UK!U16,Table_10_UK!U17,Table_10_UK!U18,Table_10_UK!U19,Table_10_UK!U24,Table_10_UK!U25,Table_10_UK!U26,Table_10_UK!U27,Table_10_UK!U32,Table_10_UK!U33,Table_10_UK!U38,Table_10_UK!U39,Table_10_UK!U40,Table_10_UK!U41,Table_10_UK!U46,Table_10_UK!U47,Table_10_UK!U48,Table_10_UK!U49,Table_10_UK!U51,Table_10_UK!U55,Table_10_UK!U56)</f>
        <v/>
      </c>
      <c r="K202" s="105"/>
      <c r="N202" s="36">
        <f t="shared" si="7"/>
        <v>0</v>
      </c>
      <c r="O202" s="36">
        <f t="shared" si="9"/>
        <v>0</v>
      </c>
    </row>
    <row r="203" spans="1:15" customFormat="1" ht="37.35" customHeight="1" x14ac:dyDescent="0.25">
      <c r="A203" s="115" t="s">
        <v>700</v>
      </c>
      <c r="B203" s="609" t="s">
        <v>701</v>
      </c>
      <c r="C203" s="609"/>
      <c r="D203" s="609"/>
      <c r="E203" s="609" t="s">
        <v>702</v>
      </c>
      <c r="F203" s="609"/>
      <c r="G203" s="101" t="s">
        <v>204</v>
      </c>
      <c r="H203" s="117" t="str">
        <f>IF(OR(AND(SUM(Table_10_UK!I6)=0,NOT(ISBLANK(Table_10_UK!L6))),AND(SUM(Table_10_UK!I7)=0,NOT(ISBLANK(Table_10_UK!L7))),AND(SUM(Table_10_UK!I8)=0,NOT(ISBLANK(Table_10_UK!L8))),AND(SUM(Table_10_UK!I9)=0,NOT(ISBLANK(Table_10_UK!L9))),AND(SUM(Table_10_UK!I10)=0,NOT(ISBLANK(Table_10_UK!L10))),AND(SUM(Table_10_UK!I11)=0,NOT(ISBLANK(Table_10_UK!L11))),AND(SUM(Table_10_UK!I15)=0,NOT(ISBLANK(Table_10_UK!L15))),AND(SUM(Table_10_UK!I16)=0,NOT(ISBLANK(Table_10_UK!L16))),AND(SUM(Table_10_UK!I17)=0,NOT(ISBLANK(Table_10_UK!L17))),AND(SUM(Table_10_UK!I18)=0,NOT(ISBLANK(Table_10_UK!L18))),AND(SUM(Table_10_UK!I19)=0,NOT(ISBLANK(Table_10_UK!L19))),AND(SUM(Table_10_UK!I24)=0,NOT(ISBLANK(Table_10_UK!L24))),AND(SUM(Table_10_UK!I25)=0,NOT(ISBLANK(Table_10_UK!L25))),AND(SUM(Table_10_UK!I26)=0,NOT(ISBLANK(Table_10_UK!L26))),AND(SUM(Table_10_UK!I27)=0,NOT(ISBLANK(Table_10_UK!L27))),AND(SUM(Table_10_UK!I32)=0,NOT(ISBLANK(Table_10_UK!L32))),AND(SUM(Table_10_UK!I33)=0,NOT(ISBLANK(Table_10_UK!L33))),AND(SUM(Table_10_UK!I38)=0,NOT(ISBLANK(Table_10_UK!L38))),AND(SUM(Table_10_UK!I39)=0,NOT(ISBLANK(Table_10_UK!L39))),AND(SUM(Table_10_UK!I40)=0,NOT(ISBLANK(Table_10_UK!L40))),AND(SUM(Table_10_UK!I41)=0,NOT(ISBLANK(Table_10_UK!L41))),AND(SUM(Table_10_UK!I46)=0,NOT(ISBLANK(Table_10_UK!L46))),AND(SUM(Table_10_UK!I47)=0,NOT(ISBLANK(Table_10_UK!L47))),AND(SUM(Table_10_UK!I48)=0,NOT(ISBLANK(Table_10_UK!L48))),AND(SUM(Table_10_UK!I49)=0,NOT(ISBLANK(Table_10_UK!L49))),AND(SUM(Table_10_UK!I51)=0,NOT(ISBLANK(Table_10_UK!L51))),AND(SUM(Table_10_UK!I55)=0,NOT(ISBLANK(Table_10_UK!L55))),AND(SUM(Table_10_UK!I56)=0,NOT(ISBLANK(Table_10_UK!L56)))), "FAIL","PASS")</f>
        <v>PASS</v>
      </c>
      <c r="I203" s="67" t="str">
        <f>CONCATENATE(Table_10_UK!X6,Table_10_UK!X7,Table_10_UK!X8,Table_10_UK!X9,Table_10_UK!X10,Table_10_UK!X11,Table_10_UK!X15,Table_10_UK!X16,Table_10_UK!X17,Table_10_UK!X18,Table_10_UK!X19,Table_10_UK!X24,Table_10_UK!X25,Table_10_UK!X26,Table_10_UK!X27,Table_10_UK!X32,Table_10_UK!X33,Table_10_UK!X38,Table_10_UK!X39,Table_10_UK!X40,Table_10_UK!X41,Table_10_UK!X46,Table_10_UK!X47,Table_10_UK!X48,Table_10_UK!X49,Table_10_UK!X51,Table_10_UK!X55,Table_10_UK!X56)</f>
        <v/>
      </c>
      <c r="K203" s="105"/>
      <c r="N203" s="36">
        <f t="shared" si="7"/>
        <v>0</v>
      </c>
      <c r="O203" s="36">
        <f t="shared" si="9"/>
        <v>0</v>
      </c>
    </row>
    <row r="204" spans="1:15" customFormat="1" ht="59.25" customHeight="1" x14ac:dyDescent="0.25">
      <c r="A204" s="116" t="s">
        <v>703</v>
      </c>
      <c r="B204" s="609" t="s">
        <v>704</v>
      </c>
      <c r="C204" s="609"/>
      <c r="D204" s="609"/>
      <c r="E204" s="609" t="s">
        <v>699</v>
      </c>
      <c r="F204" s="609"/>
      <c r="G204" s="101" t="s">
        <v>204</v>
      </c>
      <c r="H204" s="117" t="str">
        <f>IF(OR(AND(Table_10_UK!I6&lt;&gt;Table_10_UK!J6),AND(Table_10_UK!I7&lt;&gt;Table_10_UK!J7),AND(Table_10_UK!I8&lt;&gt;Table_10_UK!J8),AND(Table_10_UK!I9&lt;&gt;Table_10_UK!J9),AND(Table_10_UK!I10&lt;&gt;Table_10_UK!J10),AND(Table_10_UK!I11&lt;&gt;Table_10_UK!J11),AND(Table_10_UK!I15&lt;&gt;Table_10_UK!J15),AND(Table_10_UK!I16&lt;&gt;Table_10_UK!J16),AND(Table_10_UK!I17&lt;&gt;Table_10_UK!J17),AND(Table_10_UK!I18&lt;&gt;Table_10_UK!J18),AND(Table_10_UK!I19&lt;&gt;Table_10_UK!J19),AND(Table_10_UK!I24&lt;&gt;Table_10_UK!J24),AND(Table_10_UK!I25&lt;&gt;Table_10_UK!J25),AND(Table_10_UK!I26&lt;&gt;Table_10_UK!J26),AND(Table_10_UK!I27&lt;&gt;Table_10_UK!J27),AND(Table_10_UK!I32&lt;&gt;Table_10_UK!J32),AND(Table_10_UK!I33&lt;&gt;Table_10_UK!J33),AND(Table_10_UK!I38&lt;&gt;Table_10_UK!J38),AND(Table_10_UK!I39&lt;&gt;Table_10_UK!J39),AND(Table_10_UK!I40&lt;&gt;Table_10_UK!J40),AND(Table_10_UK!I41&lt;&gt;Table_10_UK!J41),AND(Table_10_UK!I46&lt;&gt;Table_10_UK!J46),AND(Table_10_UK!I47&lt;&gt;Table_10_UK!J47),AND(Table_10_UK!I48&lt;&gt;Table_10_UK!J48),AND(Table_10_UK!I49&lt;&gt;Table_10_UK!J49),AND(Table_10_UK!I51&lt;&gt;Table_10_UK!J51),AND(Table_10_UK!I55&lt;&gt;Table_10_UK!J55),AND(Table_10_UK!I56&lt;&gt;Table_10_UK!J56)),"FAIL","PASS")</f>
        <v>PASS</v>
      </c>
      <c r="I204" s="118" t="str">
        <f>Table_10_UK!I6&amp;", "&amp;Table_10_UK!I7&amp;", "&amp;Table_10_UK!I8&amp;", "&amp;Table_10_UK!I9&amp;", "&amp;Table_10_UK!I10&amp;", "&amp;Table_10_UK!I11&amp;", "&amp;Table_10_UK!I15&amp;", "&amp;Table_10_UK!I6&amp;", "&amp;Table_10_UK!I17&amp;", "&amp;Table_10_UK!I18&amp;", "&amp;Table_10_UK!I19&amp;", "&amp;Table_10_UK!I24&amp;", "&amp;Table_10_UK!I25&amp;", "&amp;Table_10_UK!I26&amp;", "&amp;Table_10_UK!I27&amp;", "&amp;Table_10_UK!I32&amp;", "&amp;Table_10_UK!I33&amp;", "&amp;Table_10_UK!I38&amp;", "&amp;Table_10_UK!I39&amp;", "&amp;Table_10_UK!I40&amp;", "&amp;Table_10_UK!I41&amp;", "&amp;Table_10_UK!I46&amp;", "&amp;Table_10_UK!I47&amp;", "&amp;Table_10_UK!I48&amp;", "&amp;Table_10_UK!I49&amp;", "&amp;Table_10_UK!I51&amp;", "&amp;Table_10_UK!I55&amp;", "&amp;Table_10_UK!I56</f>
        <v>0, 0, 0, 0, 0, 0, 0, 0, 0, 0, 0, 0, 0, 0, 0, 0, 0, 0, 0, 0, 0, 0, 0, 0, 0, 0, 0, 0</v>
      </c>
      <c r="K204" s="105"/>
      <c r="N204" s="36">
        <f t="shared" si="7"/>
        <v>0</v>
      </c>
      <c r="O204" s="36">
        <f t="shared" si="9"/>
        <v>0</v>
      </c>
    </row>
    <row r="205" spans="1:15" customFormat="1" ht="24.95" customHeight="1" x14ac:dyDescent="0.25">
      <c r="A205" s="115" t="s">
        <v>705</v>
      </c>
      <c r="B205" s="609" t="s">
        <v>706</v>
      </c>
      <c r="C205" s="609"/>
      <c r="D205" s="609"/>
      <c r="E205" s="609" t="s">
        <v>707</v>
      </c>
      <c r="F205" s="609"/>
      <c r="G205" s="101" t="s">
        <v>204</v>
      </c>
      <c r="H205" s="117" t="str">
        <f>IF(OR(AND(SUM(Table_11_UK!H33)&lt;&gt;0,(ISBLANK(Table_11_UK!H7))),AND(SUM(Table_11_UK!I33)&lt;&gt;0,(ISBLANK(Table_11_UK!H7))),AND(SUM(Table_11_UK!J33)&lt;&gt;0,(ISBLANK(Table_11_UK!J7))),AND(SUM(Table_11_UK!K33)&lt;&gt;0,(ISBLANK(Table_11_UK!J7))),AND(SUM(Table_11_UK!L33)&lt;&gt;0,(ISBLANK(Table_11_UK!L7))),AND(SUM(Table_11_UK!M33)&lt;&gt;0,(ISBLANK(Table_11_UK!L7))),AND(SUM(Table_11_UK!N33)&lt;&gt;0,(ISBLANK(Table_11_UK!N7))),AND(SUM(Table_11_UK!O33)&lt;&gt;0,(ISBLANK(Table_11_UK!N7)))),"FAIL","PASS")</f>
        <v>PASS</v>
      </c>
      <c r="I205" s="67" t="str">
        <f>Table_11_UK!H33&amp;", "&amp;Table_11_UK!I33&amp;", "&amp;Table_11_UK!J33&amp;", "&amp;Table_11_UK!K33&amp;", "&amp;Table_11_UK!L33&amp;", "&amp;Table_11_UK!M33&amp;", "&amp;Table_11_UK!N33&amp;", "&amp;Table_11_UK!O33</f>
        <v>403, 204, 0, 0, 0, 0, 0, 0</v>
      </c>
      <c r="K205" s="105"/>
      <c r="N205" s="36">
        <f t="shared" si="7"/>
        <v>0</v>
      </c>
      <c r="O205" s="36">
        <f t="shared" si="9"/>
        <v>0</v>
      </c>
    </row>
    <row r="206" spans="1:15" customFormat="1" ht="18.95" customHeight="1" x14ac:dyDescent="0.25">
      <c r="A206" s="115" t="s">
        <v>708</v>
      </c>
      <c r="B206" s="609" t="s">
        <v>709</v>
      </c>
      <c r="C206" s="609"/>
      <c r="D206" s="609"/>
      <c r="E206" s="609" t="s">
        <v>710</v>
      </c>
      <c r="F206" s="609"/>
      <c r="G206" s="101" t="s">
        <v>204</v>
      </c>
      <c r="H206" s="117" t="str">
        <f>IF(OR(AND(SUM(Table_11_UK!J33)&lt;&gt;0,(ISBLANK(Table_11_UK!J8))),AND(SUM(Table_11_UK!K33)&lt;&gt;0,(ISBLANK(Table_11_UK!J8))),AND(SUM(Table_11_UK!L33)&lt;&gt;0,(ISBLANK(Table_11_UK!L8))),AND(SUM(Table_11_UK!M33)&lt;&gt;0,(ISBLANK(Table_11_UK!L8))),AND(SUM(Table_11_UK!N33)&lt;&gt;0,(ISBLANK(Table_11_UK!N8))),AND(SUM(Table_11_UK!O33)&lt;&gt;0,(ISBLANK(Table_11_UK!N8)))),"FAIL","PASS")</f>
        <v>PASS</v>
      </c>
      <c r="I206" s="67" t="str">
        <f>Table_11_UK!J33&amp;", "&amp;Table_11_UK!K33&amp;", "&amp;Table_11_UK!L33&amp;", "&amp;Table_11_UK!M33&amp;", "&amp;Table_11_UK!N33&amp;", "&amp;Table_11_UK!O33</f>
        <v>0, 0, 0, 0, 0, 0</v>
      </c>
      <c r="K206" s="105"/>
      <c r="N206" s="36">
        <f t="shared" si="7"/>
        <v>0</v>
      </c>
      <c r="O206" s="36">
        <f t="shared" si="9"/>
        <v>0</v>
      </c>
    </row>
    <row r="207" spans="1:15" customFormat="1" ht="17.25" customHeight="1" x14ac:dyDescent="0.25">
      <c r="A207" s="115" t="s">
        <v>711</v>
      </c>
      <c r="B207" s="609" t="s">
        <v>712</v>
      </c>
      <c r="C207" s="609"/>
      <c r="D207" s="609"/>
      <c r="E207" s="609" t="s">
        <v>713</v>
      </c>
      <c r="F207" s="609"/>
      <c r="G207" s="101" t="s">
        <v>204</v>
      </c>
      <c r="H207" s="117" t="str">
        <f>IF(OR(Table_11_UK!H8&gt;=DATEVALUE("2019-07-31"),ISBLANK(Table_11_UK!H8)),"PASS","FAIL")</f>
        <v>PASS</v>
      </c>
      <c r="K207" s="105"/>
      <c r="N207" s="36">
        <f t="shared" si="7"/>
        <v>0</v>
      </c>
      <c r="O207" s="36">
        <f t="shared" si="9"/>
        <v>0</v>
      </c>
    </row>
    <row r="208" spans="1:15" customFormat="1" ht="17.25" customHeight="1" x14ac:dyDescent="0.25">
      <c r="A208" s="115" t="s">
        <v>714</v>
      </c>
      <c r="B208" s="609" t="s">
        <v>715</v>
      </c>
      <c r="C208" s="609"/>
      <c r="D208" s="609"/>
      <c r="E208" s="609" t="s">
        <v>716</v>
      </c>
      <c r="F208" s="609"/>
      <c r="G208" s="101" t="s">
        <v>204</v>
      </c>
      <c r="H208" s="117" t="str">
        <f>IF(Table_11_UK!H10&gt;0,"PASS","FAIL")</f>
        <v>PASS</v>
      </c>
      <c r="I208" s="118">
        <f>Table_11_UK!H10</f>
        <v>342</v>
      </c>
      <c r="K208" s="105"/>
      <c r="N208" s="36">
        <f t="shared" si="7"/>
        <v>0</v>
      </c>
      <c r="O208" s="36">
        <f t="shared" si="9"/>
        <v>0</v>
      </c>
    </row>
    <row r="209" spans="1:15" customFormat="1" ht="17.25" customHeight="1" x14ac:dyDescent="0.25">
      <c r="A209" s="115" t="s">
        <v>717</v>
      </c>
      <c r="B209" s="609" t="s">
        <v>718</v>
      </c>
      <c r="C209" s="609"/>
      <c r="D209" s="609"/>
      <c r="E209" s="609" t="s">
        <v>719</v>
      </c>
      <c r="F209" s="609"/>
      <c r="G209" s="101" t="s">
        <v>204</v>
      </c>
      <c r="H209" s="117" t="str">
        <f>IF(AND(Table_11_UK!H7&gt;DATEVALUE("2018-07-31"),Table_11_UK!I33&lt;&gt;0),"FAIL",IF(AND(ISBLANK(Table_11_UK!H7),Table_11_UK!I33&lt;&gt;0),"FAIL",IF(AND(Table_11_UK!J7&gt;DATEVALUE("2018-07-31"),Table_11_UK!K33&lt;&gt;0),"FAIL",IF(AND(ISBLANK(Table_11_UK!J7),Table_11_UK!K33&lt;&gt;0),"FAIL",IF(AND(Table_11_UK!L7&gt;DATEVALUE("2018-07-31"),Table_11_UK!M33&lt;&gt;0),"FAIL",IF(AND(ISBLANK(Table_11_UK!L7),Table_11_UK!M33&lt;&gt;0),"FAIL",IF(AND(Table_11_UK!N7&gt;DATEVALUE("2018-07-31"),Table_11_UK!O33&lt;&gt;0),"FAIL",IF(AND(ISBLANK(Table_11_UK!N7),Table_11_UK!O33&lt;&gt;0),"FAIL","PASS"))))))))</f>
        <v>PASS</v>
      </c>
      <c r="I209" s="67" t="str">
        <f>Table_11_UK!I33&amp;", "&amp;Table_11_UK!K33&amp;", "&amp;Table_11_UK!M33&amp;", "&amp;Table_11_UK!O33</f>
        <v>204, 0, 0, 0</v>
      </c>
      <c r="K209" s="105"/>
      <c r="N209" s="36">
        <f t="shared" si="7"/>
        <v>0</v>
      </c>
      <c r="O209" s="36">
        <f t="shared" si="9"/>
        <v>0</v>
      </c>
    </row>
    <row r="210" spans="1:15" customFormat="1" ht="17.25" customHeight="1" x14ac:dyDescent="0.25">
      <c r="A210" s="115" t="s">
        <v>720</v>
      </c>
      <c r="B210" s="609" t="s">
        <v>721</v>
      </c>
      <c r="C210" s="609"/>
      <c r="D210" s="609"/>
      <c r="E210" s="609" t="s">
        <v>722</v>
      </c>
      <c r="F210" s="609"/>
      <c r="G210" s="101" t="s">
        <v>204</v>
      </c>
      <c r="H210" s="117" t="str">
        <f>IF(AND(Table_11_UK!J8&lt;=DATEVALUE("2018-07-31"),Table_11_UK!J33&lt;&gt;0),"FAIL",IF(AND(ISBLANK(Table_11_UK!J8),Table_11_UK!J33&lt;&gt;0),"FAIL",IF(AND(Table_11_UK!L8&lt;=DATEVALUE("2018-07-31"),Table_11_UK!L33&lt;&gt;0),"FAIL",IF(AND(ISBLANK(Table_11_UK!L8),Table_11_UK!L33&lt;&gt;0),"FAIL",IF(AND(Table_11_UK!N8&lt;=DATEVALUE("2018-07-31"),Table_11_UK!N33&lt;&gt;0),"FAIL",IF(AND(ISBLANK(Table_11_UK!N8),Table_11_UK!N33&lt;&gt;0),"FAIL","PASS"))))))</f>
        <v>PASS</v>
      </c>
      <c r="I210" s="67" t="str">
        <f>Table_11_UK!J33&amp;", "&amp;Table_11_UK!L33&amp;", "&amp;Table_11_UK!N33</f>
        <v>0, 0, 0</v>
      </c>
      <c r="K210" s="105"/>
      <c r="N210" s="36">
        <f t="shared" si="7"/>
        <v>0</v>
      </c>
      <c r="O210" s="36">
        <f t="shared" si="9"/>
        <v>0</v>
      </c>
    </row>
    <row r="211" spans="1:15" customFormat="1" ht="32.65" customHeight="1" x14ac:dyDescent="0.25">
      <c r="A211" s="115" t="s">
        <v>723</v>
      </c>
      <c r="B211" s="609" t="s">
        <v>724</v>
      </c>
      <c r="C211" s="609"/>
      <c r="D211" s="609"/>
      <c r="E211" s="609" t="s">
        <v>725</v>
      </c>
      <c r="F211" s="609"/>
      <c r="G211" s="101" t="s">
        <v>204</v>
      </c>
      <c r="H211" s="117" t="str">
        <f>IF(AND(Table_11_UK!H36="Yes",Table_11_UK!H26&lt;=0),"FAIL",IF(AND(Table_11_UK!I36="Yes",Table_11_UK!I26&lt;=0),"FAIL",IF(AND(Table_11_UK!J36="Yes",Table_11_UK!J26&lt;=0),"FAIL",IF(AND(Table_11_UK!K36="Yes",Table_11_UK!K26&lt;=0),"FAIL",IF(AND(Table_11_UK!L36="Yes",Table_11_UK!L26&lt;=0),"FAIL",IF(AND(Table_11_UK!M36="Yes",Table_11_UK!M26&lt;=0),"FAIL",IF(AND(Table_11_UK!N36="Yes",Table_11_UK!N26&lt;=0),"FAIL",IF(AND(Table_11_UK!O36="Yes",Table_11_UK!O26&lt;=0),"FAIL","PASS"))))))))</f>
        <v>PASS</v>
      </c>
      <c r="I211" s="67" t="str">
        <f>Table_11_UK!H26&amp;", "&amp;Table_11_UK!I26&amp;", "&amp;Table_11_UK!J26&amp;", "&amp;Table_11_UK!K26&amp;", "&amp;Table_11_UK!L26&amp;", "&amp;Table_11_UK!M26&amp;", "&amp;Table_11_UK!N26&amp;", "&amp;Table_11_UK!O26</f>
        <v>0, 0, 0, 0, 0, 0, 0, 0</v>
      </c>
      <c r="K211" s="105"/>
      <c r="N211" s="36">
        <f t="shared" si="7"/>
        <v>0</v>
      </c>
      <c r="O211" s="36">
        <f t="shared" si="9"/>
        <v>0</v>
      </c>
    </row>
    <row r="212" spans="1:15" customFormat="1" ht="24.4" customHeight="1" x14ac:dyDescent="0.25">
      <c r="A212" s="115" t="s">
        <v>726</v>
      </c>
      <c r="B212" s="609" t="s">
        <v>727</v>
      </c>
      <c r="C212" s="609"/>
      <c r="D212" s="609"/>
      <c r="E212" s="609" t="s">
        <v>728</v>
      </c>
      <c r="F212" s="609"/>
      <c r="G212" s="101" t="s">
        <v>204</v>
      </c>
      <c r="H212" s="101" t="str">
        <f>IF(AND(B4&lt;&gt;"X",Table_11_UK!H42=0),"FAIL","PASS")</f>
        <v>PASS</v>
      </c>
      <c r="I212" s="67">
        <f>Table_11_UK!H42</f>
        <v>9.6</v>
      </c>
      <c r="K212" s="105"/>
      <c r="N212" s="36">
        <f t="shared" si="7"/>
        <v>0</v>
      </c>
      <c r="O212" s="36">
        <f t="shared" si="9"/>
        <v>0</v>
      </c>
    </row>
    <row r="213" spans="1:15" customFormat="1" ht="22.7" customHeight="1" x14ac:dyDescent="0.25">
      <c r="A213" s="115" t="s">
        <v>729</v>
      </c>
      <c r="B213" s="609" t="s">
        <v>730</v>
      </c>
      <c r="C213" s="609"/>
      <c r="D213" s="609"/>
      <c r="E213" s="609" t="s">
        <v>731</v>
      </c>
      <c r="F213" s="609"/>
      <c r="G213" s="101" t="s">
        <v>204</v>
      </c>
      <c r="H213" s="101" t="str">
        <f>IF(AND(B4&lt;&gt;"X",Table_11_UK!H43=0),"FAIL","PASS")</f>
        <v>PASS</v>
      </c>
      <c r="I213" s="67">
        <f>Table_11_UK!H43</f>
        <v>11.3</v>
      </c>
      <c r="K213" s="105"/>
      <c r="N213" s="36">
        <f t="shared" si="7"/>
        <v>0</v>
      </c>
      <c r="O213" s="36">
        <f t="shared" si="9"/>
        <v>0</v>
      </c>
    </row>
    <row r="214" spans="1:15" customFormat="1" ht="24.4" customHeight="1" x14ac:dyDescent="0.25">
      <c r="A214" s="115" t="s">
        <v>732</v>
      </c>
      <c r="B214" s="609" t="s">
        <v>733</v>
      </c>
      <c r="C214" s="609"/>
      <c r="D214" s="609"/>
      <c r="E214" s="609" t="s">
        <v>734</v>
      </c>
      <c r="F214" s="609"/>
      <c r="G214" s="101" t="s">
        <v>197</v>
      </c>
      <c r="H214" s="117" t="str">
        <f>IF(AND(SUM(Table_11_UK!P22:Q22)&lt;&gt;0,ISBLANK(Table_11_UK!R22)),"FAIL","PASS")</f>
        <v>PASS</v>
      </c>
      <c r="I214" s="67" t="str">
        <f>Table_11_UK!P22&amp;","&amp;Table_11_UK!Q22</f>
        <v>0,0</v>
      </c>
      <c r="K214" s="105"/>
      <c r="N214" s="36">
        <f t="shared" si="7"/>
        <v>0</v>
      </c>
      <c r="O214" s="36">
        <f t="shared" si="9"/>
        <v>0</v>
      </c>
    </row>
    <row r="215" spans="1:15" customFormat="1" ht="22.7" customHeight="1" x14ac:dyDescent="0.25">
      <c r="A215" s="115" t="s">
        <v>735</v>
      </c>
      <c r="B215" s="609" t="s">
        <v>736</v>
      </c>
      <c r="C215" s="609"/>
      <c r="D215" s="609"/>
      <c r="E215" s="609" t="s">
        <v>737</v>
      </c>
      <c r="F215" s="609"/>
      <c r="G215" s="101" t="s">
        <v>197</v>
      </c>
      <c r="H215" s="117" t="str">
        <f>IF(AND(SUM(Table_11_UK!P27:Q27)&lt;&gt;0,ISBLANK(Table_11_UK!R27)),"FAIL","PASS")</f>
        <v>PASS</v>
      </c>
      <c r="I215" s="67" t="str">
        <f>Table_11_UK!P27&amp;","&amp;Table_11_UK!Q27</f>
        <v>0,0</v>
      </c>
      <c r="K215" s="105"/>
      <c r="N215" s="36">
        <f t="shared" si="7"/>
        <v>0</v>
      </c>
      <c r="O215" s="36">
        <f t="shared" si="9"/>
        <v>0</v>
      </c>
    </row>
    <row r="216" spans="1:15" customFormat="1" ht="24.4" customHeight="1" x14ac:dyDescent="0.25">
      <c r="A216" s="115" t="s">
        <v>738</v>
      </c>
      <c r="B216" s="609" t="s">
        <v>739</v>
      </c>
      <c r="C216" s="609"/>
      <c r="D216" s="609"/>
      <c r="E216" s="609" t="s">
        <v>740</v>
      </c>
      <c r="F216" s="609"/>
      <c r="G216" s="101" t="s">
        <v>197</v>
      </c>
      <c r="H216" s="117" t="str">
        <f>IF(AND(SUM(Table_11_UK!P32:Q32)&lt;&gt;0,ISBLANK(Table_11_UK!R32)),"FAIL","PASS")</f>
        <v>PASS</v>
      </c>
      <c r="I216" s="67" t="str">
        <f>Table_11_UK!P32&amp;","&amp;Table_11_UK!Q32</f>
        <v>0,0</v>
      </c>
      <c r="K216" s="105"/>
      <c r="N216" s="36">
        <f t="shared" si="7"/>
        <v>0</v>
      </c>
      <c r="O216" s="36">
        <f t="shared" si="9"/>
        <v>0</v>
      </c>
    </row>
    <row r="217" spans="1:15" customFormat="1" ht="25.7" customHeight="1" x14ac:dyDescent="0.25">
      <c r="A217" s="115" t="s">
        <v>741</v>
      </c>
      <c r="B217" s="609" t="s">
        <v>742</v>
      </c>
      <c r="C217" s="609"/>
      <c r="D217" s="609"/>
      <c r="E217" s="609" t="s">
        <v>743</v>
      </c>
      <c r="F217" s="609"/>
      <c r="G217" s="101" t="s">
        <v>204</v>
      </c>
      <c r="H217" s="101" t="str">
        <f>IF(AND(Table_11_UK!I33&gt;0,Table_11_UK!I42=0),"FAIL",IF(AND(Table_11_UK!J33&gt;0,Table_11_UK!J42=0),"FAIL",IF(AND(Table_11_UK!K33&gt;0,Table_11_UK!K42=0),"FAIL",IF(AND(Table_11_UK!L33&gt;0,Table_11_UK!L42=0),"FAIL",IF(AND(Table_11_UK!M33&gt;0,Table_11_UK!M42=0),"FAIL",IF(AND(Table_11_UK!N33&gt;0,Table_11_UK!N42=0),"FAIL",IF(AND(Table_11_UK!O33&gt;0,Table_11_UK!O42=0),"FAIL","PASS")))))))</f>
        <v>PASS</v>
      </c>
      <c r="I217" s="67" t="str">
        <f>Table_11_UK!I33&amp;", "&amp;Table_11_UK!I42&amp;", "&amp;Table_11_UK!J33&amp;", "&amp;Table_11_UK!J42&amp;", "&amp;Table_11_UK!K33&amp;", "&amp;Table_11_UK!K42&amp;", "&amp;Table_11_UK!L33&amp;", "&amp;Table_11_UK!L42&amp;", "&amp;Table_11_UK!M33&amp;", "&amp;Table_11_UK!M42&amp;", "&amp;Table_11_UK!N33&amp;", "&amp;Table_11_UK!N42&amp;", "&amp;Table_11_UK!O33&amp;", "&amp;Table_11_UK!O42</f>
        <v>204, 9.9, 0, 0, 0, 0, 0, 0, 0, 0, 0, 0, 0, 0</v>
      </c>
      <c r="K217" s="105"/>
      <c r="N217" s="36">
        <f t="shared" si="7"/>
        <v>0</v>
      </c>
      <c r="O217" s="36">
        <f t="shared" si="9"/>
        <v>0</v>
      </c>
    </row>
    <row r="218" spans="1:15" customFormat="1" ht="22.7" customHeight="1" x14ac:dyDescent="0.25">
      <c r="A218" s="115" t="s">
        <v>744</v>
      </c>
      <c r="B218" s="609" t="s">
        <v>745</v>
      </c>
      <c r="C218" s="609"/>
      <c r="D218" s="609"/>
      <c r="E218" s="609" t="s">
        <v>746</v>
      </c>
      <c r="F218" s="609"/>
      <c r="G218" s="101" t="s">
        <v>204</v>
      </c>
      <c r="H218" s="101" t="str">
        <f>IF(AND(Table_11_UK!I33&gt;0,Table_11_UK!I43=0),"FAIL",IF(AND(Table_11_UK!J33&gt;0,Table_11_UK!J43=0),"FAIL",IF(AND(Table_11_UK!K33&gt;0,Table_11_UK!K43=0),"FAIL",IF(AND(Table_11_UK!L33&gt;0,Table_11_UK!L43=0),"FAIL",IF(AND(Table_11_UK!M33&gt;0,Table_11_UK!M43=0),"FAIL",IF(AND(Table_11_UK!N33&gt;0,Table_11_UK!N43=0),"FAIL",IF(AND(Table_11_UK!O33&gt;0,Table_11_UK!O43=0),"FAIL","PASS")))))))</f>
        <v>PASS</v>
      </c>
      <c r="I218" s="67" t="str">
        <f>Table_11_UK!I33&amp;", "&amp;Table_11_UK!I43&amp;", "&amp;Table_11_UK!J33&amp;", "&amp;Table_11_UK!J43&amp;", "&amp;Table_11_UK!K33&amp;", "&amp;Table_11_UK!K43&amp;", "&amp;Table_11_UK!L33&amp;", "&amp;Table_11_UK!L43&amp;", "&amp;Table_11_UK!M33&amp;", "&amp;Table_11_UK!M43&amp;", "&amp;Table_11_UK!N33&amp;", "&amp;Table_11_UK!N43&amp;", "&amp;Table_11_UK!O33&amp;", "&amp;Table_11_UK!O43</f>
        <v>204, 11.5, 0, 0, 0, 0, 0, 0, 0, 0, 0, 0, 0, 0</v>
      </c>
      <c r="K218" s="105"/>
      <c r="N218" s="36">
        <f t="shared" ref="N218:N229" si="10">IF(AND(G218="Error",H218="FAIL"),1,0)</f>
        <v>0</v>
      </c>
      <c r="O218" s="36">
        <f t="shared" si="9"/>
        <v>0</v>
      </c>
    </row>
    <row r="219" spans="1:15" customFormat="1" ht="21.4" customHeight="1" x14ac:dyDescent="0.25">
      <c r="A219" s="115" t="s">
        <v>747</v>
      </c>
      <c r="B219" s="609" t="s">
        <v>748</v>
      </c>
      <c r="C219" s="609"/>
      <c r="D219" s="609"/>
      <c r="E219" s="609" t="s">
        <v>749</v>
      </c>
      <c r="F219" s="609"/>
      <c r="G219" s="101" t="s">
        <v>204</v>
      </c>
      <c r="H219" s="117" t="str">
        <f>IF(Table_12_UK!H14&lt;&gt;Table_1_UK!H15,"FAIL","PASS")</f>
        <v>PASS</v>
      </c>
      <c r="I219" s="67" t="str">
        <f>Table_12_UK!H14&amp;","&amp;Table_1_UK!H15</f>
        <v>756130,756130</v>
      </c>
      <c r="K219" s="105"/>
      <c r="N219" s="36">
        <f t="shared" si="10"/>
        <v>0</v>
      </c>
      <c r="O219" s="36">
        <f t="shared" si="9"/>
        <v>0</v>
      </c>
    </row>
    <row r="220" spans="1:15" customFormat="1" ht="21.95" customHeight="1" x14ac:dyDescent="0.25">
      <c r="A220" s="115" t="s">
        <v>750</v>
      </c>
      <c r="B220" s="609" t="s">
        <v>751</v>
      </c>
      <c r="C220" s="609"/>
      <c r="D220" s="609"/>
      <c r="E220" s="609" t="s">
        <v>752</v>
      </c>
      <c r="F220" s="609"/>
      <c r="G220" s="101" t="s">
        <v>204</v>
      </c>
      <c r="H220" s="117" t="str">
        <f>IF(Table_12_UK!I14&lt;&gt;Table_1_UK!I15,"FAIL","PASS")</f>
        <v>PASS</v>
      </c>
      <c r="I220" s="67" t="str">
        <f>Table_12_UK!I14&amp;","&amp;Table_1_UK!I15</f>
        <v>521373,521373</v>
      </c>
      <c r="K220" s="105"/>
      <c r="N220" s="36">
        <f t="shared" si="10"/>
        <v>0</v>
      </c>
      <c r="O220" s="36">
        <f t="shared" si="9"/>
        <v>0</v>
      </c>
    </row>
    <row r="221" spans="1:15" customFormat="1" ht="24.4" customHeight="1" x14ac:dyDescent="0.25">
      <c r="A221" s="115" t="s">
        <v>753</v>
      </c>
      <c r="B221" s="609" t="s">
        <v>754</v>
      </c>
      <c r="C221" s="609"/>
      <c r="D221" s="609"/>
      <c r="E221" s="609" t="s">
        <v>755</v>
      </c>
      <c r="F221" s="609"/>
      <c r="G221" s="101" t="s">
        <v>204</v>
      </c>
      <c r="H221" s="126" t="str">
        <f>IF(AND(B4="S",OR(Table_12_UK!H20&lt;&gt;0,Table_12_UK!I20&lt;&gt;0)),"FAIL","PASS")</f>
        <v>PASS</v>
      </c>
      <c r="I221" s="67" t="str">
        <f>Table_12_UK!H20&amp;", "&amp;Table_12_UK!I20</f>
        <v>0, 0</v>
      </c>
      <c r="K221" s="105"/>
      <c r="N221" s="36">
        <f t="shared" si="10"/>
        <v>0</v>
      </c>
      <c r="O221" s="36">
        <f t="shared" si="9"/>
        <v>0</v>
      </c>
    </row>
    <row r="222" spans="1:15" customFormat="1" ht="37.5" customHeight="1" x14ac:dyDescent="0.25">
      <c r="A222" s="115" t="s">
        <v>756</v>
      </c>
      <c r="B222" s="609" t="s">
        <v>757</v>
      </c>
      <c r="C222" s="609"/>
      <c r="D222" s="609"/>
      <c r="E222" s="609" t="s">
        <v>758</v>
      </c>
      <c r="F222" s="609"/>
      <c r="G222" s="101" t="s">
        <v>204</v>
      </c>
      <c r="H222" s="117" t="str">
        <f>IF(Table_13_UK!H6+Table_13_UK!H7+Table_13_UK!H10&lt;&gt;Table_11_UK!P16,"FAIL","PASS")</f>
        <v>PASS</v>
      </c>
      <c r="I222" s="67" t="str">
        <f>Table_13_UK!H6+Table_13_UK!H7+Table_13_UK!H10&amp;", "&amp;Table_11_UK!P16</f>
        <v>0, 0</v>
      </c>
      <c r="K222" s="54"/>
      <c r="N222" s="36">
        <f t="shared" si="10"/>
        <v>0</v>
      </c>
      <c r="O222" s="36">
        <f t="shared" si="9"/>
        <v>0</v>
      </c>
    </row>
    <row r="223" spans="1:15" customFormat="1" ht="36" customHeight="1" x14ac:dyDescent="0.25">
      <c r="A223" s="115" t="s">
        <v>759</v>
      </c>
      <c r="B223" s="609" t="s">
        <v>760</v>
      </c>
      <c r="C223" s="609"/>
      <c r="D223" s="609"/>
      <c r="E223" s="609" t="s">
        <v>761</v>
      </c>
      <c r="F223" s="609"/>
      <c r="G223" s="101" t="s">
        <v>204</v>
      </c>
      <c r="H223" s="117" t="str">
        <f>IF(Table_13_UK!I6+Table_13_UK!I7+Table_13_UK!I10&lt;&gt;Table_11_UK!Q16,"FAIL","PASS")</f>
        <v>PASS</v>
      </c>
      <c r="I223" s="67" t="str">
        <f>Table_13_UK!I6+Table_13_UK!I7+Table_13_UK!I10&amp;", "&amp;Table_11_UK!Q16</f>
        <v>0, 0</v>
      </c>
      <c r="K223" s="54"/>
      <c r="N223" s="36">
        <f t="shared" si="10"/>
        <v>0</v>
      </c>
      <c r="O223" s="36">
        <f t="shared" si="9"/>
        <v>0</v>
      </c>
    </row>
    <row r="224" spans="1:15" customFormat="1" ht="24.4" customHeight="1" x14ac:dyDescent="0.25">
      <c r="A224" s="115" t="s">
        <v>762</v>
      </c>
      <c r="B224" s="609" t="s">
        <v>763</v>
      </c>
      <c r="C224" s="609"/>
      <c r="D224" s="609"/>
      <c r="E224" s="609" t="s">
        <v>764</v>
      </c>
      <c r="F224" s="609"/>
      <c r="G224" s="101" t="s">
        <v>204</v>
      </c>
      <c r="H224" s="117" t="str">
        <f>IF(AND(Table_13_UK!H20="No",(Table_13_UK!H6+Table_13_UK!H7+Table_13_UK!H8+Table_13_UK!H10+Table_13_UK!H14+Table_13_UK!H15+Table_13_UK!H17+Table_13_UK!H18&lt;=0)),"FAIL","PASS")</f>
        <v>FAIL</v>
      </c>
      <c r="I224" s="118" t="str">
        <f>CONCATENATE(SUM(Table_13_UK!H6+Table_13_UK!H7+Table_13_UK!H8+Table_13_UK!H10+Table_13_UK!H14+Table_13_UK!H15+Table_13_UK!H17+Table_13_UK!H18)," ,",Table_13_UK!H20)</f>
        <v>0 ,No</v>
      </c>
      <c r="K224" s="127"/>
      <c r="N224" s="36">
        <f t="shared" si="10"/>
        <v>0</v>
      </c>
      <c r="O224" s="36">
        <f t="shared" si="9"/>
        <v>1</v>
      </c>
    </row>
    <row r="225" spans="1:15" customFormat="1" ht="24" customHeight="1" x14ac:dyDescent="0.25">
      <c r="A225" s="115" t="s">
        <v>765</v>
      </c>
      <c r="B225" s="609" t="s">
        <v>766</v>
      </c>
      <c r="C225" s="609"/>
      <c r="D225" s="609"/>
      <c r="E225" s="609" t="s">
        <v>767</v>
      </c>
      <c r="F225" s="609"/>
      <c r="G225" s="101" t="s">
        <v>204</v>
      </c>
      <c r="H225" s="117" t="str">
        <f>IF(AND(Table_13_UK!H20="Yes",Table_13_UK!H14&gt;0),"FAIL","PASS")</f>
        <v>PASS</v>
      </c>
      <c r="I225" s="118">
        <f>Table_13_UK!H14</f>
        <v>0</v>
      </c>
      <c r="N225" s="36">
        <f t="shared" si="10"/>
        <v>0</v>
      </c>
      <c r="O225" s="36">
        <f t="shared" si="9"/>
        <v>0</v>
      </c>
    </row>
    <row r="226" spans="1:15" customFormat="1" ht="29.25" customHeight="1" x14ac:dyDescent="0.25">
      <c r="A226" s="115" t="s">
        <v>768</v>
      </c>
      <c r="B226" s="609" t="s">
        <v>769</v>
      </c>
      <c r="C226" s="609"/>
      <c r="D226" s="609"/>
      <c r="E226" s="609" t="s">
        <v>770</v>
      </c>
      <c r="F226" s="609"/>
      <c r="G226" s="101" t="s">
        <v>204</v>
      </c>
      <c r="H226" s="117" t="str">
        <f>IF(AND(Table_13_UK!H8&lt;&gt;0,OR(Table_13_UK!H9="Please type nature of the benefits here",ISBLANK(Table_13_UK!H9))),"FAIL","PASS")</f>
        <v>PASS</v>
      </c>
      <c r="I226" s="128">
        <f>Table_13_UK!H8</f>
        <v>0</v>
      </c>
      <c r="N226" s="36">
        <f t="shared" si="10"/>
        <v>0</v>
      </c>
      <c r="O226" s="36">
        <f t="shared" si="9"/>
        <v>0</v>
      </c>
    </row>
    <row r="227" spans="1:15" customFormat="1" ht="24.4" customHeight="1" x14ac:dyDescent="0.25">
      <c r="A227" s="115" t="s">
        <v>771</v>
      </c>
      <c r="B227" s="609" t="s">
        <v>772</v>
      </c>
      <c r="C227" s="609"/>
      <c r="D227" s="609"/>
      <c r="E227" s="609" t="s">
        <v>773</v>
      </c>
      <c r="F227" s="609"/>
      <c r="G227" s="101" t="s">
        <v>204</v>
      </c>
      <c r="H227" s="117" t="str">
        <f>IF(AND(Table_13_UK!I20="Yes",(Table_13_UK!I6+Table_13_UK!I7+Table_13_UK!I8+Table_13_UK!I10+Table_13_UK!I14+Table_13_UK!I15+Table_13_UK!I17+Table_13_UK!I18&lt;=0)),"PASS","FAIL")</f>
        <v>FAIL</v>
      </c>
      <c r="I227" s="118" t="str">
        <f>CONCATENATE(SUM(Table_13_UK!I6+Table_13_UK!I7+Table_13_UK!I8+Table_13_UK!I10+Table_13_UK!I14+Table_13_UK!I15+Table_13_UK!I17+Table_13_UK!I18)," ,",Table_13_UK!I20)</f>
        <v>169 ,No</v>
      </c>
      <c r="K227" s="127"/>
      <c r="N227" s="36">
        <f t="shared" si="10"/>
        <v>0</v>
      </c>
      <c r="O227" s="36">
        <f t="shared" si="9"/>
        <v>1</v>
      </c>
    </row>
    <row r="228" spans="1:15" customFormat="1" ht="24.4" customHeight="1" x14ac:dyDescent="0.25">
      <c r="A228" s="115" t="s">
        <v>774</v>
      </c>
      <c r="B228" s="609" t="s">
        <v>775</v>
      </c>
      <c r="C228" s="609"/>
      <c r="D228" s="609"/>
      <c r="E228" s="609" t="s">
        <v>764</v>
      </c>
      <c r="F228" s="609"/>
      <c r="G228" s="101" t="s">
        <v>204</v>
      </c>
      <c r="H228" s="117" t="str">
        <f>IF(AND(Table_13_UK!H20="Yes",(Table_13_UK!H6+Table_13_UK!H7+Table_13_UK!H8+Table_13_UK!H10+Table_13_UK!H14+Table_13_UK!H15+Table_13_UK!H17+Table_13_UK!H18&gt;0)),"FAIL","PASS")</f>
        <v>PASS</v>
      </c>
      <c r="I228" s="118" t="str">
        <f>CONCATENATE(SUM(Table_13_UK!H6+Table_13_UK!H7+Table_13_UK!H8+Table_13_UK!H10+Table_13_UK!H14+Table_13_UK!H15+Table_13_UK!H17+Table_13_UK!H18)," ,",Table_13_UK!H20)</f>
        <v>0 ,No</v>
      </c>
      <c r="K228" s="127"/>
      <c r="N228" s="36">
        <f t="shared" si="10"/>
        <v>0</v>
      </c>
      <c r="O228" s="36">
        <f t="shared" si="9"/>
        <v>0</v>
      </c>
    </row>
    <row r="229" spans="1:15" customFormat="1" ht="24.4" customHeight="1" x14ac:dyDescent="0.25">
      <c r="A229" s="115" t="s">
        <v>776</v>
      </c>
      <c r="B229" s="609" t="s">
        <v>777</v>
      </c>
      <c r="C229" s="609"/>
      <c r="D229" s="609"/>
      <c r="E229" s="609" t="s">
        <v>773</v>
      </c>
      <c r="F229" s="609"/>
      <c r="G229" s="101" t="s">
        <v>204</v>
      </c>
      <c r="H229" s="117" t="str">
        <f>IF(AND(Table_13_UK!I20="Yes",(Table_13_UK!I6+Table_13_UK!I7+Table_13_UK!I8+Table_13_UK!I10+Table_13_UK!I14+Table_13_UK!I15+Table_13_UK!I17+Table_13_UK!I18&gt;0)),"FAIL","PASS")</f>
        <v>PASS</v>
      </c>
      <c r="I229" s="118" t="str">
        <f>CONCATENATE(SUM(Table_13_UK!I6+Table_13_UK!I7+Table_13_UK!I8+Table_13_UK!I10+Table_13_UK!I14+Table_13_UK!I15+Table_13_UK!I17+Table_13_UK!I18)," ,",Table_13_UK!I20)</f>
        <v>169 ,No</v>
      </c>
      <c r="K229" s="127"/>
      <c r="N229" s="36">
        <f t="shared" si="10"/>
        <v>0</v>
      </c>
      <c r="O229" s="36">
        <f t="shared" si="9"/>
        <v>0</v>
      </c>
    </row>
  </sheetData>
  <sheetProtection algorithmName="SHA-512" hashValue="6MtALxyKUKIN8NK5yMQ0soNmBrozwMLrhtlPYNGaiqvC24CcFAUobE6oXtGbCR0RJqmKJPL/Sak3F9gCT9bBzA==" saltValue="TdHKx+A9oVSf5uryUbdDdQ==" spinCount="100000" sheet="1" objects="1" scenarios="1"/>
  <mergeCells count="409">
    <mergeCell ref="B186:D186"/>
    <mergeCell ref="B177:D177"/>
    <mergeCell ref="B178:D178"/>
    <mergeCell ref="B185:D185"/>
    <mergeCell ref="B221:D221"/>
    <mergeCell ref="B152:D152"/>
    <mergeCell ref="B153:D153"/>
    <mergeCell ref="B164:D164"/>
    <mergeCell ref="B165:D165"/>
    <mergeCell ref="B166:D166"/>
    <mergeCell ref="B167:D167"/>
    <mergeCell ref="B154:D154"/>
    <mergeCell ref="B155:D155"/>
    <mergeCell ref="B156:D156"/>
    <mergeCell ref="B157:D157"/>
    <mergeCell ref="B158:D158"/>
    <mergeCell ref="B159:D159"/>
    <mergeCell ref="B160:D160"/>
    <mergeCell ref="B161:D161"/>
    <mergeCell ref="B162:D162"/>
    <mergeCell ref="B216:D216"/>
    <mergeCell ref="B163:D163"/>
    <mergeCell ref="B169:D169"/>
    <mergeCell ref="B171:D171"/>
    <mergeCell ref="B183:D183"/>
    <mergeCell ref="B184:D184"/>
    <mergeCell ref="B172:D172"/>
    <mergeCell ref="B180:D180"/>
    <mergeCell ref="B128:D128"/>
    <mergeCell ref="B148:D148"/>
    <mergeCell ref="B150:D150"/>
    <mergeCell ref="B151:D151"/>
    <mergeCell ref="B136:D136"/>
    <mergeCell ref="B133:D133"/>
    <mergeCell ref="B132:D132"/>
    <mergeCell ref="B139:D139"/>
    <mergeCell ref="B134:D134"/>
    <mergeCell ref="B135:D135"/>
    <mergeCell ref="B140:D140"/>
    <mergeCell ref="B141:D141"/>
    <mergeCell ref="B143:D143"/>
    <mergeCell ref="B142:D142"/>
    <mergeCell ref="B149:D149"/>
    <mergeCell ref="B116:D116"/>
    <mergeCell ref="B117:D117"/>
    <mergeCell ref="B118:D118"/>
    <mergeCell ref="B115:D115"/>
    <mergeCell ref="B103:D103"/>
    <mergeCell ref="E96:F96"/>
    <mergeCell ref="B105:D105"/>
    <mergeCell ref="B101:D101"/>
    <mergeCell ref="B102:D102"/>
    <mergeCell ref="E109:F109"/>
    <mergeCell ref="E110:F110"/>
    <mergeCell ref="E111:F111"/>
    <mergeCell ref="E112:F112"/>
    <mergeCell ref="E113:F113"/>
    <mergeCell ref="E114:F114"/>
    <mergeCell ref="B100:D100"/>
    <mergeCell ref="E100:F100"/>
    <mergeCell ref="B104:D104"/>
    <mergeCell ref="E115:F115"/>
    <mergeCell ref="E116:F116"/>
    <mergeCell ref="E117:F117"/>
    <mergeCell ref="E118:F118"/>
    <mergeCell ref="B121:D121"/>
    <mergeCell ref="B122:D122"/>
    <mergeCell ref="B72:D72"/>
    <mergeCell ref="B73:D73"/>
    <mergeCell ref="B74:D74"/>
    <mergeCell ref="B75:D75"/>
    <mergeCell ref="B79:D79"/>
    <mergeCell ref="B106:D106"/>
    <mergeCell ref="E99:F99"/>
    <mergeCell ref="E97:F97"/>
    <mergeCell ref="B98:D98"/>
    <mergeCell ref="E98:F98"/>
    <mergeCell ref="B107:D107"/>
    <mergeCell ref="B108:D108"/>
    <mergeCell ref="E94:F94"/>
    <mergeCell ref="E95:F95"/>
    <mergeCell ref="E119:F119"/>
    <mergeCell ref="E120:F120"/>
    <mergeCell ref="B109:D109"/>
    <mergeCell ref="B110:D110"/>
    <mergeCell ref="B111:D111"/>
    <mergeCell ref="B112:D112"/>
    <mergeCell ref="B113:D113"/>
    <mergeCell ref="B114:D114"/>
    <mergeCell ref="A6:B6"/>
    <mergeCell ref="B90:D90"/>
    <mergeCell ref="B80:D80"/>
    <mergeCell ref="B82:D82"/>
    <mergeCell ref="B83:D83"/>
    <mergeCell ref="B86:D86"/>
    <mergeCell ref="B87:D87"/>
    <mergeCell ref="B81:D81"/>
    <mergeCell ref="B84:D84"/>
    <mergeCell ref="B85:D85"/>
    <mergeCell ref="B88:D88"/>
    <mergeCell ref="B35:D35"/>
    <mergeCell ref="B40:D40"/>
    <mergeCell ref="B41:D41"/>
    <mergeCell ref="B42:D42"/>
    <mergeCell ref="B43:D43"/>
    <mergeCell ref="B44:D44"/>
    <mergeCell ref="B26:D26"/>
    <mergeCell ref="B27:D27"/>
    <mergeCell ref="B28:D28"/>
    <mergeCell ref="B29:D29"/>
    <mergeCell ref="B30:D30"/>
    <mergeCell ref="B31:D31"/>
    <mergeCell ref="B32:D32"/>
    <mergeCell ref="B125:D125"/>
    <mergeCell ref="B91:D91"/>
    <mergeCell ref="B92:D92"/>
    <mergeCell ref="B89:D89"/>
    <mergeCell ref="B95:D95"/>
    <mergeCell ref="B94:D94"/>
    <mergeCell ref="B93:D93"/>
    <mergeCell ref="B78:D78"/>
    <mergeCell ref="B147:D147"/>
    <mergeCell ref="B96:D96"/>
    <mergeCell ref="B99:D99"/>
    <mergeCell ref="B137:D137"/>
    <mergeCell ref="B97:D97"/>
    <mergeCell ref="B144:D144"/>
    <mergeCell ref="B145:D145"/>
    <mergeCell ref="B146:D146"/>
    <mergeCell ref="B129:D129"/>
    <mergeCell ref="B130:D130"/>
    <mergeCell ref="B131:D131"/>
    <mergeCell ref="B124:D124"/>
    <mergeCell ref="B123:D123"/>
    <mergeCell ref="B126:D126"/>
    <mergeCell ref="B127:D127"/>
    <mergeCell ref="B138:D138"/>
    <mergeCell ref="E175:F175"/>
    <mergeCell ref="E176:F176"/>
    <mergeCell ref="B170:D170"/>
    <mergeCell ref="B190:D190"/>
    <mergeCell ref="B191:D191"/>
    <mergeCell ref="B192:D192"/>
    <mergeCell ref="B194:D194"/>
    <mergeCell ref="B195:D195"/>
    <mergeCell ref="E193:F193"/>
    <mergeCell ref="E191:F191"/>
    <mergeCell ref="E192:F192"/>
    <mergeCell ref="E194:F194"/>
    <mergeCell ref="E195:F195"/>
    <mergeCell ref="E181:F181"/>
    <mergeCell ref="E182:F182"/>
    <mergeCell ref="E183:F183"/>
    <mergeCell ref="B173:D173"/>
    <mergeCell ref="B182:D182"/>
    <mergeCell ref="B181:D181"/>
    <mergeCell ref="B188:D188"/>
    <mergeCell ref="B189:D189"/>
    <mergeCell ref="B193:D193"/>
    <mergeCell ref="E189:F189"/>
    <mergeCell ref="E190:F190"/>
    <mergeCell ref="E196:F196"/>
    <mergeCell ref="E184:F184"/>
    <mergeCell ref="E186:F186"/>
    <mergeCell ref="E187:F187"/>
    <mergeCell ref="E188:F188"/>
    <mergeCell ref="B212:D212"/>
    <mergeCell ref="B213:D213"/>
    <mergeCell ref="B214:D214"/>
    <mergeCell ref="B215:D215"/>
    <mergeCell ref="E197:F197"/>
    <mergeCell ref="E198:F198"/>
    <mergeCell ref="E199:F199"/>
    <mergeCell ref="B199:D199"/>
    <mergeCell ref="B197:D197"/>
    <mergeCell ref="B198:D198"/>
    <mergeCell ref="B196:D196"/>
    <mergeCell ref="B204:D204"/>
    <mergeCell ref="E204:F204"/>
    <mergeCell ref="E185:F185"/>
    <mergeCell ref="B187:D187"/>
    <mergeCell ref="E212:F212"/>
    <mergeCell ref="E213:F213"/>
    <mergeCell ref="B200:D200"/>
    <mergeCell ref="B201:D201"/>
    <mergeCell ref="E200:F200"/>
    <mergeCell ref="E215:F215"/>
    <mergeCell ref="E216:F216"/>
    <mergeCell ref="B202:D202"/>
    <mergeCell ref="B203:D203"/>
    <mergeCell ref="E205:F205"/>
    <mergeCell ref="E206:F206"/>
    <mergeCell ref="E207:F207"/>
    <mergeCell ref="E208:F208"/>
    <mergeCell ref="E209:F209"/>
    <mergeCell ref="E210:F210"/>
    <mergeCell ref="E211:F211"/>
    <mergeCell ref="E214:F214"/>
    <mergeCell ref="B33:D33"/>
    <mergeCell ref="B34:D34"/>
    <mergeCell ref="B36:D36"/>
    <mergeCell ref="B37:D37"/>
    <mergeCell ref="B38:D38"/>
    <mergeCell ref="B39:D39"/>
    <mergeCell ref="E221:F221"/>
    <mergeCell ref="B168:D168"/>
    <mergeCell ref="B174:D174"/>
    <mergeCell ref="B175:D175"/>
    <mergeCell ref="B176:D176"/>
    <mergeCell ref="B179:D179"/>
    <mergeCell ref="B205:D205"/>
    <mergeCell ref="B206:D206"/>
    <mergeCell ref="B207:D207"/>
    <mergeCell ref="B208:D208"/>
    <mergeCell ref="B209:D209"/>
    <mergeCell ref="B210:D210"/>
    <mergeCell ref="B211:D211"/>
    <mergeCell ref="E201:F201"/>
    <mergeCell ref="E202:F202"/>
    <mergeCell ref="E203:F203"/>
    <mergeCell ref="B76:D76"/>
    <mergeCell ref="B119:D119"/>
    <mergeCell ref="B120:D120"/>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B58:D58"/>
    <mergeCell ref="B59:D59"/>
    <mergeCell ref="B45:D45"/>
    <mergeCell ref="B46:D46"/>
    <mergeCell ref="B47:D47"/>
    <mergeCell ref="B50:D50"/>
    <mergeCell ref="E42:F42"/>
    <mergeCell ref="E43:F43"/>
    <mergeCell ref="E44:F44"/>
    <mergeCell ref="E45:F45"/>
    <mergeCell ref="E46:F46"/>
    <mergeCell ref="E47:F47"/>
    <mergeCell ref="E48:F48"/>
    <mergeCell ref="E41:F41"/>
    <mergeCell ref="B71:D71"/>
    <mergeCell ref="B51:D51"/>
    <mergeCell ref="B52:D52"/>
    <mergeCell ref="B53:D53"/>
    <mergeCell ref="B54:D54"/>
    <mergeCell ref="B55:D55"/>
    <mergeCell ref="B49:D49"/>
    <mergeCell ref="B48:D48"/>
    <mergeCell ref="E49:F49"/>
    <mergeCell ref="E50:F50"/>
    <mergeCell ref="E51:F51"/>
    <mergeCell ref="E52:F52"/>
    <mergeCell ref="E53:F53"/>
    <mergeCell ref="E54:F54"/>
    <mergeCell ref="E55:F55"/>
    <mergeCell ref="E58:F58"/>
    <mergeCell ref="E56:F56"/>
    <mergeCell ref="B57:D57"/>
    <mergeCell ref="E78:F78"/>
    <mergeCell ref="E79:F79"/>
    <mergeCell ref="E80:F80"/>
    <mergeCell ref="E81:F81"/>
    <mergeCell ref="E82:F82"/>
    <mergeCell ref="E60:F60"/>
    <mergeCell ref="E61:F61"/>
    <mergeCell ref="E66:F66"/>
    <mergeCell ref="E67:F67"/>
    <mergeCell ref="E68:F68"/>
    <mergeCell ref="E69:F69"/>
    <mergeCell ref="E70:F70"/>
    <mergeCell ref="E71:F71"/>
    <mergeCell ref="E72:F72"/>
    <mergeCell ref="E62:F62"/>
    <mergeCell ref="E63:F63"/>
    <mergeCell ref="E65:F65"/>
    <mergeCell ref="E83:F83"/>
    <mergeCell ref="E84:F84"/>
    <mergeCell ref="E85:F85"/>
    <mergeCell ref="E86:F86"/>
    <mergeCell ref="E87:F87"/>
    <mergeCell ref="E88:F88"/>
    <mergeCell ref="E89:F89"/>
    <mergeCell ref="E90:F90"/>
    <mergeCell ref="E91:F91"/>
    <mergeCell ref="E121:F121"/>
    <mergeCell ref="E127:F127"/>
    <mergeCell ref="E128:F128"/>
    <mergeCell ref="E129:F129"/>
    <mergeCell ref="E92:F92"/>
    <mergeCell ref="E101:F101"/>
    <mergeCell ref="E102:F102"/>
    <mergeCell ref="E103:F103"/>
    <mergeCell ref="E104:F104"/>
    <mergeCell ref="E105:F105"/>
    <mergeCell ref="E106:F106"/>
    <mergeCell ref="E107:F107"/>
    <mergeCell ref="E108:F108"/>
    <mergeCell ref="E93:F93"/>
    <mergeCell ref="E141:F141"/>
    <mergeCell ref="E142:F142"/>
    <mergeCell ref="E143:F143"/>
    <mergeCell ref="E144:F144"/>
    <mergeCell ref="E122:F122"/>
    <mergeCell ref="E123:F123"/>
    <mergeCell ref="E124:F124"/>
    <mergeCell ref="E125:F125"/>
    <mergeCell ref="E126:F126"/>
    <mergeCell ref="E132:F132"/>
    <mergeCell ref="E133:F133"/>
    <mergeCell ref="E134:F134"/>
    <mergeCell ref="E135:F135"/>
    <mergeCell ref="E136:F136"/>
    <mergeCell ref="E137:F137"/>
    <mergeCell ref="E138:F138"/>
    <mergeCell ref="E139:F139"/>
    <mergeCell ref="E140:F140"/>
    <mergeCell ref="E59:F59"/>
    <mergeCell ref="E158:F158"/>
    <mergeCell ref="E159:F159"/>
    <mergeCell ref="E160:F160"/>
    <mergeCell ref="E161:F161"/>
    <mergeCell ref="E162:F162"/>
    <mergeCell ref="E163:F163"/>
    <mergeCell ref="E164:F164"/>
    <mergeCell ref="E165:F165"/>
    <mergeCell ref="E148:F148"/>
    <mergeCell ref="E149:F149"/>
    <mergeCell ref="E150:F150"/>
    <mergeCell ref="E151:F151"/>
    <mergeCell ref="E152:F152"/>
    <mergeCell ref="E153:F153"/>
    <mergeCell ref="E154:F154"/>
    <mergeCell ref="E155:F155"/>
    <mergeCell ref="E156:F156"/>
    <mergeCell ref="E157:F157"/>
    <mergeCell ref="E145:F145"/>
    <mergeCell ref="E146:F146"/>
    <mergeCell ref="E147:F147"/>
    <mergeCell ref="E130:F130"/>
    <mergeCell ref="E131:F131"/>
    <mergeCell ref="B77:D77"/>
    <mergeCell ref="E77:F77"/>
    <mergeCell ref="E73:F73"/>
    <mergeCell ref="E74:F74"/>
    <mergeCell ref="E75:F75"/>
    <mergeCell ref="E76:F76"/>
    <mergeCell ref="B60:D60"/>
    <mergeCell ref="B61:D61"/>
    <mergeCell ref="B62:D62"/>
    <mergeCell ref="B56:D56"/>
    <mergeCell ref="B63:D63"/>
    <mergeCell ref="B68:D68"/>
    <mergeCell ref="B69:D69"/>
    <mergeCell ref="B70:D70"/>
    <mergeCell ref="B67:D67"/>
    <mergeCell ref="B66:D66"/>
    <mergeCell ref="E179:F179"/>
    <mergeCell ref="E180:F180"/>
    <mergeCell ref="E166:F166"/>
    <mergeCell ref="E167:F167"/>
    <mergeCell ref="E168:F168"/>
    <mergeCell ref="E169:F169"/>
    <mergeCell ref="E170:F170"/>
    <mergeCell ref="E171:F171"/>
    <mergeCell ref="E172:F172"/>
    <mergeCell ref="E173:F173"/>
    <mergeCell ref="E174:F174"/>
    <mergeCell ref="E177:F177"/>
    <mergeCell ref="E178:F178"/>
    <mergeCell ref="E57:F57"/>
    <mergeCell ref="B64:D64"/>
    <mergeCell ref="E64:F64"/>
    <mergeCell ref="B65:D65"/>
    <mergeCell ref="B227:D227"/>
    <mergeCell ref="E227:F227"/>
    <mergeCell ref="B228:D228"/>
    <mergeCell ref="E228:F228"/>
    <mergeCell ref="B229:D229"/>
    <mergeCell ref="E229:F229"/>
    <mergeCell ref="B217:D217"/>
    <mergeCell ref="E217:F217"/>
    <mergeCell ref="B218:D218"/>
    <mergeCell ref="E218:F218"/>
    <mergeCell ref="B226:D226"/>
    <mergeCell ref="E226:F226"/>
    <mergeCell ref="B223:D223"/>
    <mergeCell ref="E223:F223"/>
    <mergeCell ref="B224:D224"/>
    <mergeCell ref="E224:F224"/>
    <mergeCell ref="B222:D222"/>
    <mergeCell ref="E222:F222"/>
    <mergeCell ref="B219:D219"/>
    <mergeCell ref="B225:D225"/>
    <mergeCell ref="E225:F225"/>
    <mergeCell ref="E219:F219"/>
    <mergeCell ref="B220:D220"/>
    <mergeCell ref="E220:F220"/>
  </mergeCells>
  <phoneticPr fontId="46" type="noConversion"/>
  <conditionalFormatting sqref="D2:D3">
    <cfRule type="expression" dxfId="258" priority="1">
      <formula>ISERROR($D$2)</formula>
    </cfRule>
  </conditionalFormatting>
  <conditionalFormatting sqref="H219:H226">
    <cfRule type="containsText" dxfId="257" priority="2" operator="containsText" text="FAIL">
      <formula>NOT(ISERROR(SEARCH("FAIL",H219)))</formula>
    </cfRule>
  </conditionalFormatting>
  <conditionalFormatting sqref="H42:H55">
    <cfRule type="containsText" dxfId="256" priority="3" operator="containsText" text="FAIL">
      <formula>NOT(ISERROR(SEARCH("FAIL",H42)))</formula>
    </cfRule>
  </conditionalFormatting>
  <conditionalFormatting sqref="H58:H63">
    <cfRule type="containsText" dxfId="255" priority="4" operator="containsText" text="FAIL">
      <formula>NOT(ISERROR(SEARCH("FAIL",H58)))</formula>
    </cfRule>
  </conditionalFormatting>
  <conditionalFormatting sqref="H66:H75">
    <cfRule type="containsText" dxfId="254" priority="5" operator="containsText" text="FAIL">
      <formula>NOT(ISERROR(SEARCH("FAIL",H66)))</formula>
    </cfRule>
  </conditionalFormatting>
  <conditionalFormatting sqref="H78:H99">
    <cfRule type="containsText" dxfId="253" priority="6" operator="containsText" text="FAIL">
      <formula>NOT(ISERROR(SEARCH("FAIL",H78)))</formula>
    </cfRule>
  </conditionalFormatting>
  <conditionalFormatting sqref="H101:H184">
    <cfRule type="containsText" dxfId="252" priority="7" operator="containsText" text="FAIL">
      <formula>NOT(ISERROR(SEARCH("FAIL",H101)))</formula>
    </cfRule>
  </conditionalFormatting>
  <conditionalFormatting sqref="H205:H211">
    <cfRule type="containsText" dxfId="251" priority="8" operator="containsText" text="FAIL">
      <formula>NOT(ISERROR(SEARCH("FAIL",H205)))</formula>
    </cfRule>
  </conditionalFormatting>
  <conditionalFormatting sqref="H186:H203">
    <cfRule type="containsText" dxfId="250" priority="9" operator="containsText" text="FAIL">
      <formula>NOT(ISERROR(SEARCH("FAIL",H186)))</formula>
    </cfRule>
  </conditionalFormatting>
  <conditionalFormatting sqref="H25:H40">
    <cfRule type="containsText" dxfId="249" priority="10" operator="containsText" text="FAIL">
      <formula>NOT(ISERROR(SEARCH("FAIL",H25)))</formula>
    </cfRule>
  </conditionalFormatting>
  <conditionalFormatting sqref="M60">
    <cfRule type="containsText" dxfId="248" priority="11" operator="containsText" text="FAIL">
      <formula>NOT(ISERROR(SEARCH("FAIL",M60)))</formula>
    </cfRule>
  </conditionalFormatting>
  <conditionalFormatting sqref="H176:H178">
    <cfRule type="containsText" dxfId="247" priority="12" operator="containsText" text="FAIL">
      <formula>NOT(ISERROR(SEARCH("FAIL",H176)))</formula>
    </cfRule>
  </conditionalFormatting>
  <conditionalFormatting sqref="H186">
    <cfRule type="containsText" dxfId="246" priority="13" operator="containsText" text="FAIL">
      <formula>NOT(ISERROR(SEARCH("FAIL",H186)))</formula>
    </cfRule>
  </conditionalFormatting>
  <conditionalFormatting sqref="H37:H40">
    <cfRule type="containsText" dxfId="245" priority="14" operator="containsText" text="FAIL">
      <formula>NOT(ISERROR(SEARCH("FAIL",H37)))</formula>
    </cfRule>
  </conditionalFormatting>
  <conditionalFormatting sqref="H179">
    <cfRule type="containsText" dxfId="244" priority="15" operator="containsText" text="FAIL">
      <formula>NOT(ISERROR(SEARCH("FAIL",H179)))</formula>
    </cfRule>
  </conditionalFormatting>
  <conditionalFormatting sqref="H180">
    <cfRule type="containsText" dxfId="243" priority="16" operator="containsText" text="FAIL">
      <formula>NOT(ISERROR(SEARCH("FAIL",H180)))</formula>
    </cfRule>
  </conditionalFormatting>
  <conditionalFormatting sqref="H181:H182">
    <cfRule type="containsText" dxfId="242" priority="17" operator="containsText" text="FAIL">
      <formula>NOT(ISERROR(SEARCH("FAIL",H181)))</formula>
    </cfRule>
  </conditionalFormatting>
  <conditionalFormatting sqref="H183">
    <cfRule type="containsText" dxfId="241" priority="18" operator="containsText" text="FAIL">
      <formula>NOT(ISERROR(SEARCH("FAIL",H183)))</formula>
    </cfRule>
  </conditionalFormatting>
  <conditionalFormatting sqref="H184">
    <cfRule type="containsText" dxfId="240" priority="19" operator="containsText" text="FAIL">
      <formula>NOT(ISERROR(SEARCH("FAIL",H184)))</formula>
    </cfRule>
  </conditionalFormatting>
  <conditionalFormatting sqref="H93:H94">
    <cfRule type="containsText" dxfId="239" priority="20" operator="containsText" text="FAIL">
      <formula>NOT(ISERROR(SEARCH("FAIL",H93)))</formula>
    </cfRule>
  </conditionalFormatting>
  <conditionalFormatting sqref="H54:H55">
    <cfRule type="containsText" dxfId="238" priority="21" operator="containsText" text="FAIL">
      <formula>NOT(ISERROR(SEARCH("FAIL",H54)))</formula>
    </cfRule>
  </conditionalFormatting>
  <conditionalFormatting sqref="H205">
    <cfRule type="containsText" dxfId="237" priority="22" operator="containsText" text="FAIL">
      <formula>NOT(ISERROR(SEARCH("FAIL",H205)))</formula>
    </cfRule>
  </conditionalFormatting>
  <conditionalFormatting sqref="H206">
    <cfRule type="containsText" dxfId="236" priority="23" operator="containsText" text="FAIL">
      <formula>NOT(ISERROR(SEARCH("FAIL",H206)))</formula>
    </cfRule>
  </conditionalFormatting>
  <conditionalFormatting sqref="H207:H211">
    <cfRule type="containsText" dxfId="235" priority="24" operator="containsText" text="FAIL">
      <formula>NOT(ISERROR(SEARCH("FAIL",H207)))</formula>
    </cfRule>
  </conditionalFormatting>
  <conditionalFormatting sqref="H222">
    <cfRule type="containsText" dxfId="234" priority="25" operator="containsText" text="FAIL">
      <formula>NOT(ISERROR(SEARCH("FAIL",H222)))</formula>
    </cfRule>
  </conditionalFormatting>
  <conditionalFormatting sqref="H219">
    <cfRule type="containsText" dxfId="233" priority="26" operator="containsText" text="FAIL">
      <formula>NOT(ISERROR(SEARCH("FAIL",H219)))</formula>
    </cfRule>
  </conditionalFormatting>
  <conditionalFormatting sqref="H223">
    <cfRule type="containsText" dxfId="232" priority="27" operator="containsText" text="FAIL">
      <formula>NOT(ISERROR(SEARCH("FAIL",H223)))</formula>
    </cfRule>
  </conditionalFormatting>
  <conditionalFormatting sqref="H221">
    <cfRule type="containsText" dxfId="231" priority="28" operator="containsText" text="FAIL">
      <formula>NOT(ISERROR(SEARCH("FAIL",H221)))</formula>
    </cfRule>
  </conditionalFormatting>
  <conditionalFormatting sqref="H226">
    <cfRule type="containsText" dxfId="230" priority="29" operator="containsText" text="FAIL">
      <formula>NOT(ISERROR(SEARCH("FAIL",H226)))</formula>
    </cfRule>
  </conditionalFormatting>
  <conditionalFormatting sqref="H95:H99">
    <cfRule type="containsText" dxfId="229" priority="30" operator="containsText" text="FAIL">
      <formula>NOT(ISERROR(SEARCH("FAIL",H95)))</formula>
    </cfRule>
  </conditionalFormatting>
  <conditionalFormatting sqref="H212">
    <cfRule type="containsText" dxfId="228" priority="31" operator="containsText" text="FAIL">
      <formula>NOT(ISERROR(SEARCH("FAIL",H212)))</formula>
    </cfRule>
    <cfRule type="containsText" dxfId="227" priority="31" operator="containsText" text="FAIL">
      <formula>NOT(ISERROR(SEARCH("FAIL",H212)))</formula>
    </cfRule>
  </conditionalFormatting>
  <conditionalFormatting sqref="H213">
    <cfRule type="containsText" dxfId="226" priority="32" operator="containsText" text="FAIL">
      <formula>NOT(ISERROR(SEARCH("FAIL",H213)))</formula>
    </cfRule>
    <cfRule type="containsText" dxfId="225" priority="32" operator="containsText" text="FAIL">
      <formula>NOT(ISERROR(SEARCH("FAIL",H213)))</formula>
    </cfRule>
  </conditionalFormatting>
  <conditionalFormatting sqref="H214">
    <cfRule type="containsText" dxfId="224" priority="33" operator="containsText" text="FAIL">
      <formula>NOT(ISERROR(SEARCH("FAIL",H214)))</formula>
    </cfRule>
  </conditionalFormatting>
  <conditionalFormatting sqref="H215:H216">
    <cfRule type="containsText" dxfId="223" priority="34" operator="containsText" text="FAIL">
      <formula>NOT(ISERROR(SEARCH("FAIL",H215)))</formula>
    </cfRule>
  </conditionalFormatting>
  <conditionalFormatting sqref="H41">
    <cfRule type="containsText" dxfId="222" priority="35" operator="containsText" text="FAIL">
      <formula>NOT(ISERROR(SEARCH("FAIL",H41)))</formula>
    </cfRule>
    <cfRule type="containsText" dxfId="221" priority="35" operator="containsText" text="FAIL">
      <formula>NOT(ISERROR(SEARCH("FAIL",H41)))</formula>
    </cfRule>
  </conditionalFormatting>
  <conditionalFormatting sqref="H56">
    <cfRule type="containsText" dxfId="220" priority="36" operator="containsText" text="FAIL">
      <formula>NOT(ISERROR(SEARCH("FAIL",H56)))</formula>
    </cfRule>
    <cfRule type="containsText" dxfId="219" priority="36" operator="containsText" text="FAIL">
      <formula>NOT(ISERROR(SEARCH("FAIL",H56)))</formula>
    </cfRule>
  </conditionalFormatting>
  <conditionalFormatting sqref="H57">
    <cfRule type="containsText" dxfId="218" priority="37" operator="containsText" text="FAIL">
      <formula>NOT(ISERROR(SEARCH("FAIL",H57)))</formula>
    </cfRule>
    <cfRule type="containsText" dxfId="217" priority="37" operator="containsText" text="FAIL">
      <formula>NOT(ISERROR(SEARCH("FAIL",H57)))</formula>
    </cfRule>
  </conditionalFormatting>
  <conditionalFormatting sqref="H64">
    <cfRule type="containsText" dxfId="216" priority="38" operator="containsText" text="FAIL">
      <formula>NOT(ISERROR(SEARCH("FAIL",H64)))</formula>
    </cfRule>
    <cfRule type="containsText" dxfId="215" priority="38" operator="containsText" text="FAIL">
      <formula>NOT(ISERROR(SEARCH("FAIL",H64)))</formula>
    </cfRule>
  </conditionalFormatting>
  <conditionalFormatting sqref="H65">
    <cfRule type="containsText" dxfId="214" priority="39" operator="containsText" text="FAIL">
      <formula>NOT(ISERROR(SEARCH("FAIL",H65)))</formula>
    </cfRule>
    <cfRule type="containsText" dxfId="213" priority="39" operator="containsText" text="FAIL">
      <formula>NOT(ISERROR(SEARCH("FAIL",H65)))</formula>
    </cfRule>
  </conditionalFormatting>
  <conditionalFormatting sqref="H77">
    <cfRule type="containsText" dxfId="212" priority="40" operator="containsText" text="FAIL">
      <formula>NOT(ISERROR(SEARCH("FAIL",H77)))</formula>
    </cfRule>
    <cfRule type="containsText" dxfId="211" priority="40" operator="containsText" text="FAIL">
      <formula>NOT(ISERROR(SEARCH("FAIL",H77)))</formula>
    </cfRule>
  </conditionalFormatting>
  <conditionalFormatting sqref="H76">
    <cfRule type="containsText" dxfId="210" priority="41" operator="containsText" text="FAIL">
      <formula>NOT(ISERROR(SEARCH("FAIL",H76)))</formula>
    </cfRule>
  </conditionalFormatting>
  <conditionalFormatting sqref="H100">
    <cfRule type="containsText" dxfId="209" priority="42" operator="containsText" text="FAIL">
      <formula>NOT(ISERROR(SEARCH("FAIL",H100)))</formula>
    </cfRule>
    <cfRule type="containsText" dxfId="208" priority="42" operator="containsText" text="FAIL">
      <formula>NOT(ISERROR(SEARCH("FAIL",H100)))</formula>
    </cfRule>
  </conditionalFormatting>
  <conditionalFormatting sqref="H204">
    <cfRule type="containsText" dxfId="207" priority="43" operator="containsText" text="FAIL">
      <formula>NOT(ISERROR(SEARCH("FAIL",H204)))</formula>
    </cfRule>
    <cfRule type="containsText" dxfId="206" priority="43" operator="containsText" text="FAIL">
      <formula>NOT(ISERROR(SEARCH("FAIL",H204)))</formula>
    </cfRule>
  </conditionalFormatting>
  <conditionalFormatting sqref="H185">
    <cfRule type="containsText" dxfId="205" priority="44" operator="containsText" text="FAIL">
      <formula>NOT(ISERROR(SEARCH("FAIL",H185)))</formula>
    </cfRule>
  </conditionalFormatting>
  <conditionalFormatting sqref="H229">
    <cfRule type="containsText" dxfId="204" priority="45" operator="containsText" text="FAIL">
      <formula>NOT(ISERROR(SEARCH("FAIL",H229)))</formula>
    </cfRule>
  </conditionalFormatting>
  <conditionalFormatting sqref="H227">
    <cfRule type="containsText" dxfId="203" priority="46" operator="containsText" text="FAIL">
      <formula>NOT(ISERROR(SEARCH("FAIL",H227)))</formula>
    </cfRule>
  </conditionalFormatting>
  <conditionalFormatting sqref="H228">
    <cfRule type="containsText" dxfId="202" priority="47" operator="containsText" text="FAIL">
      <formula>NOT(ISERROR(SEARCH("FAIL",H228)))</formula>
    </cfRule>
  </conditionalFormatting>
  <conditionalFormatting sqref="H217">
    <cfRule type="containsText" dxfId="201" priority="48" operator="containsText" text="FAIL">
      <formula>NOT(ISERROR(SEARCH("FAIL",H217)))</formula>
    </cfRule>
    <cfRule type="containsText" dxfId="200" priority="48" operator="containsText" text="FAIL">
      <formula>NOT(ISERROR(SEARCH("FAIL",H217)))</formula>
    </cfRule>
  </conditionalFormatting>
  <conditionalFormatting sqref="H218">
    <cfRule type="containsText" dxfId="199" priority="49" operator="containsText" text="FAIL">
      <formula>NOT(ISERROR(SEARCH("FAIL",H218)))</formula>
    </cfRule>
    <cfRule type="containsText" dxfId="198" priority="49" operator="containsText" text="FAIL">
      <formula>NOT(ISERROR(SEARCH("FAIL",H218)))</formula>
    </cfRule>
  </conditionalFormatting>
  <hyperlinks>
    <hyperlink ref="A14" r:id="rId1"/>
    <hyperlink ref="A18" r:id="rId2"/>
  </hyperlinks>
  <printOptions headings="1" gridLines="1"/>
  <pageMargins left="0.15748031496062992" right="0.15748031496062992" top="0.35433070866141736" bottom="0.35433070866141736" header="0.11811023622047245" footer="0.11811023622047245"/>
  <pageSetup paperSize="8" scale="44" orientation="portrait" r:id="rId3"/>
  <headerFooter alignWithMargins="0">
    <oddHeader>&amp;R&amp;D</oddHeader>
    <oddFooter xml:space="preserve">&amp;RPage &amp;P of &amp;N, &amp;A </oddFooter>
  </headerFooter>
  <ignoredErrors>
    <ignoredError sqref="H66:H6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55"/>
  <sheetViews>
    <sheetView zoomScaleNormal="100" workbookViewId="0">
      <pane ySplit="4" topLeftCell="A5" activePane="bottomLeft" state="frozenSplit"/>
      <selection pane="bottomLeft" activeCell="H6" sqref="H6"/>
    </sheetView>
  </sheetViews>
  <sheetFormatPr defaultColWidth="9.140625" defaultRowHeight="12.75" x14ac:dyDescent="0.2"/>
  <cols>
    <col min="1" max="1" width="9" style="200" customWidth="1"/>
    <col min="2" max="2" width="3.5703125" style="129" customWidth="1"/>
    <col min="3" max="3" width="87.7109375" style="129" customWidth="1"/>
    <col min="4" max="4" width="74.5703125" style="129" hidden="1" customWidth="1"/>
    <col min="5" max="5" width="3.28515625" style="129" hidden="1" customWidth="1"/>
    <col min="6" max="6" width="4.140625" style="129" hidden="1" customWidth="1"/>
    <col min="7" max="7" width="2.7109375" style="129" hidden="1" customWidth="1"/>
    <col min="8" max="8" width="16.42578125" style="129" customWidth="1"/>
    <col min="9" max="9" width="16.28515625" style="129" customWidth="1"/>
    <col min="10" max="10" width="17" style="129" hidden="1" customWidth="1"/>
    <col min="11" max="12" width="14.5703125" style="129" hidden="1" customWidth="1"/>
    <col min="13" max="13" width="107.42578125" style="129" customWidth="1"/>
    <col min="14" max="15" width="9.140625" style="129" customWidth="1"/>
    <col min="16" max="16" width="17.42578125" style="129" bestFit="1" customWidth="1"/>
    <col min="17" max="17" width="10.42578125" style="129" customWidth="1"/>
    <col min="18" max="18" width="9.140625" style="129" customWidth="1"/>
    <col min="19" max="16384" width="9.140625" style="129"/>
  </cols>
  <sheetData>
    <row r="1" spans="1:13" customFormat="1" ht="40.700000000000003" customHeight="1" x14ac:dyDescent="0.25">
      <c r="A1" s="130" t="s">
        <v>778</v>
      </c>
      <c r="B1" s="131" t="s">
        <v>779</v>
      </c>
      <c r="C1" s="131"/>
      <c r="D1" s="131"/>
      <c r="E1" s="131"/>
      <c r="F1" s="131"/>
      <c r="G1" s="131"/>
      <c r="H1" s="132"/>
      <c r="I1" s="133" t="s">
        <v>780</v>
      </c>
      <c r="J1" s="134" t="s">
        <v>780</v>
      </c>
      <c r="L1" s="135"/>
    </row>
    <row r="2" spans="1:13" customFormat="1" ht="42" customHeight="1" x14ac:dyDescent="0.25">
      <c r="A2" s="136"/>
      <c r="B2" s="137" t="str">
        <f>'Hide_me(drop_downs)'!I1</f>
        <v>Year ended 31 July 2019</v>
      </c>
      <c r="C2" s="137"/>
      <c r="D2" s="137"/>
      <c r="E2" s="137"/>
      <c r="F2" s="137"/>
      <c r="G2" s="137"/>
      <c r="H2" s="138"/>
      <c r="I2" s="139" t="s">
        <v>781</v>
      </c>
      <c r="J2" s="139" t="s">
        <v>782</v>
      </c>
      <c r="L2" s="140"/>
      <c r="M2" s="28" t="str">
        <f>'Hide_me(drop_downs)'!I5</f>
        <v>Variance (2018/19 v. 2017/18 restated)</v>
      </c>
    </row>
    <row r="3" spans="1:13" customFormat="1" ht="37.700000000000003" customHeight="1" x14ac:dyDescent="0.25">
      <c r="A3" s="141"/>
      <c r="B3" s="142"/>
      <c r="C3" s="142"/>
      <c r="D3" s="142"/>
      <c r="E3" s="142"/>
      <c r="F3" s="142"/>
      <c r="G3" s="143"/>
      <c r="H3" s="26" t="str">
        <f>'Hide_me(drop_downs)'!I1</f>
        <v>Year ended 31 July 2019</v>
      </c>
      <c r="I3" s="27" t="str">
        <f>'Hide_me(drop_downs)'!J1</f>
        <v>Year ended 31 July 2018</v>
      </c>
      <c r="J3" s="27" t="str">
        <f>'Hide_me(drop_downs)'!J1</f>
        <v>Year ended 31 July 2018</v>
      </c>
      <c r="K3" s="140"/>
      <c r="L3" s="140"/>
      <c r="M3" s="144" t="s">
        <v>783</v>
      </c>
    </row>
    <row r="4" spans="1:13" customFormat="1" ht="15.4" customHeight="1" x14ac:dyDescent="0.25">
      <c r="A4" s="145"/>
      <c r="B4" s="146"/>
      <c r="C4" s="146"/>
      <c r="D4" s="146"/>
      <c r="E4" s="146"/>
      <c r="F4" s="146"/>
      <c r="G4" s="147"/>
      <c r="H4" s="148" t="s">
        <v>784</v>
      </c>
      <c r="I4" s="148" t="s">
        <v>784</v>
      </c>
      <c r="J4" s="148" t="s">
        <v>784</v>
      </c>
      <c r="K4" s="135" t="s">
        <v>784</v>
      </c>
      <c r="L4" s="135" t="s">
        <v>785</v>
      </c>
      <c r="M4" s="149" t="s">
        <v>786</v>
      </c>
    </row>
    <row r="5" spans="1:13" customFormat="1" ht="12.75" customHeight="1" x14ac:dyDescent="0.25">
      <c r="A5" s="150">
        <v>1</v>
      </c>
      <c r="B5" s="151" t="s">
        <v>787</v>
      </c>
      <c r="C5" s="152"/>
      <c r="D5" s="152"/>
      <c r="E5" s="152"/>
      <c r="F5" s="152"/>
      <c r="G5" s="153"/>
      <c r="H5" s="154"/>
      <c r="I5" s="155"/>
      <c r="J5" s="155"/>
      <c r="K5" s="156" t="s">
        <v>193</v>
      </c>
      <c r="L5" s="156" t="s">
        <v>193</v>
      </c>
      <c r="M5" s="135" t="s">
        <v>788</v>
      </c>
    </row>
    <row r="6" spans="1:13" customFormat="1" ht="12.75" customHeight="1" x14ac:dyDescent="0.25">
      <c r="A6" s="150" t="s">
        <v>789</v>
      </c>
      <c r="B6" s="157"/>
      <c r="C6" s="158" t="s">
        <v>790</v>
      </c>
      <c r="D6" s="158"/>
      <c r="E6" s="159"/>
      <c r="F6" s="159"/>
      <c r="G6" s="160"/>
      <c r="H6" s="161">
        <v>346850</v>
      </c>
      <c r="I6" s="162">
        <v>312015</v>
      </c>
      <c r="J6" s="163">
        <v>312015</v>
      </c>
      <c r="K6" s="164">
        <f t="shared" ref="K6:K12" si="0">H6-I6</f>
        <v>34835</v>
      </c>
      <c r="L6" s="164">
        <f t="shared" ref="L6:L12" si="1">IF(AND(OR(H6=0,I6&lt;&gt;0),OR(I6=0,H6&lt;&gt;0)),IF((H6+I6+K6&lt;&gt;0),IF(AND(OR(H6&gt;0,I6&lt;0),OR(I6&gt;0,H6&lt;0)),ABS(K6/MIN(ABS(I6),ABS(H6))),10),"-"),10)</f>
        <v>0.11164527346441677</v>
      </c>
      <c r="M6" s="165"/>
    </row>
    <row r="7" spans="1:13" customFormat="1" ht="12.75" customHeight="1" x14ac:dyDescent="0.25">
      <c r="A7" s="150" t="s">
        <v>791</v>
      </c>
      <c r="B7" s="157"/>
      <c r="C7" s="1" t="s">
        <v>792</v>
      </c>
      <c r="D7" s="158"/>
      <c r="E7" s="159"/>
      <c r="F7" s="159"/>
      <c r="G7" s="160"/>
      <c r="H7" s="161">
        <v>195819</v>
      </c>
      <c r="I7" s="161">
        <v>186652</v>
      </c>
      <c r="J7" s="166">
        <v>186652</v>
      </c>
      <c r="K7" s="164">
        <f t="shared" si="0"/>
        <v>9167</v>
      </c>
      <c r="L7" s="164">
        <f t="shared" si="1"/>
        <v>4.9112787433298333E-2</v>
      </c>
      <c r="M7" s="167"/>
    </row>
    <row r="8" spans="1:13" customFormat="1" ht="12.75" customHeight="1" x14ac:dyDescent="0.25">
      <c r="A8" s="150" t="s">
        <v>793</v>
      </c>
      <c r="B8" s="157"/>
      <c r="C8" s="1" t="s">
        <v>794</v>
      </c>
      <c r="D8" s="158"/>
      <c r="E8" s="159"/>
      <c r="F8" s="159"/>
      <c r="G8" s="160"/>
      <c r="H8" s="161">
        <v>285654</v>
      </c>
      <c r="I8" s="161">
        <v>279704</v>
      </c>
      <c r="J8" s="166">
        <v>279704</v>
      </c>
      <c r="K8" s="164">
        <f t="shared" si="0"/>
        <v>5950</v>
      </c>
      <c r="L8" s="164">
        <f t="shared" si="1"/>
        <v>2.1272488058805022E-2</v>
      </c>
      <c r="M8" s="168"/>
    </row>
    <row r="9" spans="1:13" customFormat="1" ht="12.75" customHeight="1" x14ac:dyDescent="0.25">
      <c r="A9" s="150" t="s">
        <v>795</v>
      </c>
      <c r="B9" s="157"/>
      <c r="C9" s="1" t="s">
        <v>796</v>
      </c>
      <c r="D9" s="158"/>
      <c r="E9" s="159"/>
      <c r="F9" s="159"/>
      <c r="G9" s="160"/>
      <c r="H9" s="161">
        <v>234018</v>
      </c>
      <c r="I9" s="161">
        <v>168384</v>
      </c>
      <c r="J9" s="166">
        <v>168384</v>
      </c>
      <c r="K9" s="164">
        <f t="shared" si="0"/>
        <v>65634</v>
      </c>
      <c r="L9" s="164">
        <f t="shared" si="1"/>
        <v>0.38978762827822122</v>
      </c>
      <c r="M9" s="167"/>
    </row>
    <row r="10" spans="1:13" customFormat="1" ht="12.75" customHeight="1" x14ac:dyDescent="0.25">
      <c r="A10" s="150" t="s">
        <v>797</v>
      </c>
      <c r="B10" s="157"/>
      <c r="C10" s="1" t="s">
        <v>798</v>
      </c>
      <c r="D10" s="158"/>
      <c r="E10" s="159"/>
      <c r="F10" s="159"/>
      <c r="G10" s="160"/>
      <c r="H10" s="161">
        <v>17413</v>
      </c>
      <c r="I10" s="161">
        <v>14468</v>
      </c>
      <c r="J10" s="166">
        <v>14593</v>
      </c>
      <c r="K10" s="164">
        <f t="shared" si="0"/>
        <v>2945</v>
      </c>
      <c r="L10" s="164">
        <f t="shared" si="1"/>
        <v>0.20355266795687033</v>
      </c>
      <c r="M10" s="167"/>
    </row>
    <row r="11" spans="1:13" customFormat="1" ht="12.75" customHeight="1" x14ac:dyDescent="0.25">
      <c r="A11" s="150" t="s">
        <v>799</v>
      </c>
      <c r="B11" s="157"/>
      <c r="C11" s="2" t="s">
        <v>800</v>
      </c>
      <c r="D11" s="159"/>
      <c r="E11" s="159"/>
      <c r="F11" s="159"/>
      <c r="G11" s="160"/>
      <c r="H11" s="161">
        <v>21750</v>
      </c>
      <c r="I11" s="161">
        <v>23089</v>
      </c>
      <c r="J11" s="166">
        <v>23089</v>
      </c>
      <c r="K11" s="164">
        <f t="shared" si="0"/>
        <v>-1339</v>
      </c>
      <c r="L11" s="164">
        <f t="shared" si="1"/>
        <v>6.15632183908046E-2</v>
      </c>
      <c r="M11" s="167"/>
    </row>
    <row r="12" spans="1:13" customFormat="1" ht="12.75" customHeight="1" x14ac:dyDescent="0.25">
      <c r="A12" s="150" t="s">
        <v>801</v>
      </c>
      <c r="B12" s="169" t="s">
        <v>802</v>
      </c>
      <c r="C12" s="170"/>
      <c r="D12" s="170"/>
      <c r="E12" s="170"/>
      <c r="F12" s="170"/>
      <c r="G12" s="171"/>
      <c r="H12" s="172">
        <f>SUM(H6:H11)</f>
        <v>1101504</v>
      </c>
      <c r="I12" s="172">
        <f>SUM(I6:I11)</f>
        <v>984312</v>
      </c>
      <c r="J12" s="172">
        <f>SUM(J6:J11)</f>
        <v>984437</v>
      </c>
      <c r="K12" s="164">
        <f t="shared" si="0"/>
        <v>117192</v>
      </c>
      <c r="L12" s="164">
        <f t="shared" si="1"/>
        <v>0.11905981030404994</v>
      </c>
      <c r="M12" s="173"/>
    </row>
    <row r="13" spans="1:13" customFormat="1" ht="12.75" customHeight="1" x14ac:dyDescent="0.25">
      <c r="A13" s="150"/>
      <c r="B13" s="174"/>
      <c r="C13" s="175"/>
      <c r="D13" s="175"/>
      <c r="E13" s="175"/>
      <c r="F13" s="175"/>
      <c r="G13" s="176"/>
      <c r="H13" s="177"/>
      <c r="I13" s="177"/>
      <c r="J13" s="177"/>
    </row>
    <row r="14" spans="1:13" customFormat="1" ht="12.75" customHeight="1" x14ac:dyDescent="0.25">
      <c r="A14" s="150">
        <v>2</v>
      </c>
      <c r="B14" s="151" t="s">
        <v>803</v>
      </c>
      <c r="C14" s="152"/>
      <c r="D14" s="152"/>
      <c r="E14" s="152"/>
      <c r="F14" s="152"/>
      <c r="G14" s="153"/>
      <c r="H14" s="178"/>
      <c r="I14" s="178"/>
      <c r="J14" s="178"/>
    </row>
    <row r="15" spans="1:13" customFormat="1" ht="12.75" customHeight="1" x14ac:dyDescent="0.25">
      <c r="A15" s="150" t="s">
        <v>804</v>
      </c>
      <c r="B15" s="157"/>
      <c r="C15" s="175" t="s">
        <v>805</v>
      </c>
      <c r="D15" s="159"/>
      <c r="E15" s="159"/>
      <c r="F15" s="159"/>
      <c r="G15" s="160"/>
      <c r="H15" s="179">
        <v>756130</v>
      </c>
      <c r="I15" s="161">
        <v>521373</v>
      </c>
      <c r="J15" s="166">
        <v>521373</v>
      </c>
      <c r="K15" s="164">
        <f t="shared" ref="K15:K20" si="2">H15-I15</f>
        <v>234757</v>
      </c>
      <c r="L15" s="164">
        <f t="shared" ref="L15:L20" si="3">IF(AND(OR(H15=0,I15&lt;&gt;0),OR(I15=0,H15&lt;&gt;0)),IF((H15+I15+K15&lt;&gt;0),IF(AND(OR(H15&gt;0,I15&lt;0),OR(I15&gt;0,H15&lt;0)),ABS(K15/MIN(ABS(I15),ABS(H15))),10),"-"),10)</f>
        <v>0.45026689145774712</v>
      </c>
      <c r="M15" s="165"/>
    </row>
    <row r="16" spans="1:13" customFormat="1" ht="12.75" customHeight="1" x14ac:dyDescent="0.25">
      <c r="A16" s="150" t="s">
        <v>806</v>
      </c>
      <c r="B16" s="157"/>
      <c r="C16" s="175" t="s">
        <v>807</v>
      </c>
      <c r="D16" s="159"/>
      <c r="E16" s="159"/>
      <c r="F16" s="159"/>
      <c r="G16" s="160"/>
      <c r="H16" s="161">
        <v>0</v>
      </c>
      <c r="I16" s="161">
        <v>0</v>
      </c>
      <c r="J16" s="166">
        <v>0</v>
      </c>
      <c r="K16" s="164">
        <f t="shared" si="2"/>
        <v>0</v>
      </c>
      <c r="L16" s="164" t="str">
        <f t="shared" si="3"/>
        <v>-</v>
      </c>
      <c r="M16" s="167"/>
    </row>
    <row r="17" spans="1:16" customFormat="1" ht="12.75" customHeight="1" x14ac:dyDescent="0.25">
      <c r="A17" s="150" t="s">
        <v>808</v>
      </c>
      <c r="B17" s="180"/>
      <c r="C17" s="176" t="s">
        <v>809</v>
      </c>
      <c r="D17" s="159"/>
      <c r="E17" s="159"/>
      <c r="F17" s="159"/>
      <c r="G17" s="160"/>
      <c r="H17" s="161">
        <v>383033</v>
      </c>
      <c r="I17" s="161">
        <v>358592</v>
      </c>
      <c r="J17" s="166">
        <v>358578</v>
      </c>
      <c r="K17" s="164">
        <f t="shared" si="2"/>
        <v>24441</v>
      </c>
      <c r="L17" s="164">
        <f t="shared" si="3"/>
        <v>6.8158241120828134E-2</v>
      </c>
      <c r="M17" s="168"/>
    </row>
    <row r="18" spans="1:16" customFormat="1" ht="12.75" customHeight="1" x14ac:dyDescent="0.25">
      <c r="A18" s="150" t="s">
        <v>810</v>
      </c>
      <c r="B18" s="157"/>
      <c r="C18" s="176" t="s">
        <v>811</v>
      </c>
      <c r="D18" s="159"/>
      <c r="E18" s="159"/>
      <c r="F18" s="159"/>
      <c r="G18" s="160"/>
      <c r="H18" s="161">
        <v>63758</v>
      </c>
      <c r="I18" s="161">
        <v>60197</v>
      </c>
      <c r="J18" s="166">
        <v>60197</v>
      </c>
      <c r="K18" s="164">
        <f t="shared" si="2"/>
        <v>3561</v>
      </c>
      <c r="L18" s="164">
        <f t="shared" si="3"/>
        <v>5.915577188231972E-2</v>
      </c>
      <c r="M18" s="167"/>
    </row>
    <row r="19" spans="1:16" customFormat="1" ht="12.75" customHeight="1" x14ac:dyDescent="0.25">
      <c r="A19" s="150" t="s">
        <v>812</v>
      </c>
      <c r="B19" s="180"/>
      <c r="C19" s="176" t="s">
        <v>813</v>
      </c>
      <c r="D19" s="159"/>
      <c r="E19" s="159"/>
      <c r="F19" s="159"/>
      <c r="G19" s="160"/>
      <c r="H19" s="161">
        <v>33014</v>
      </c>
      <c r="I19" s="161">
        <v>16840</v>
      </c>
      <c r="J19" s="166">
        <v>16840</v>
      </c>
      <c r="K19" s="164">
        <f t="shared" si="2"/>
        <v>16174</v>
      </c>
      <c r="L19" s="164">
        <f t="shared" si="3"/>
        <v>0.96045130641330168</v>
      </c>
      <c r="M19" s="167"/>
      <c r="P19" s="129"/>
    </row>
    <row r="20" spans="1:16" customFormat="1" ht="12.75" customHeight="1" x14ac:dyDescent="0.25">
      <c r="A20" s="150" t="s">
        <v>814</v>
      </c>
      <c r="B20" s="169" t="s">
        <v>815</v>
      </c>
      <c r="C20" s="170"/>
      <c r="D20" s="170"/>
      <c r="E20" s="170"/>
      <c r="F20" s="170"/>
      <c r="G20" s="171"/>
      <c r="H20" s="172">
        <f>SUM(H15:H19)</f>
        <v>1235935</v>
      </c>
      <c r="I20" s="172">
        <f>SUM(I15:I19)</f>
        <v>957002</v>
      </c>
      <c r="J20" s="172">
        <f>SUM(J15:J19)</f>
        <v>956988</v>
      </c>
      <c r="K20" s="164">
        <f t="shared" si="2"/>
        <v>278933</v>
      </c>
      <c r="L20" s="164">
        <f t="shared" si="3"/>
        <v>0.29146543058426211</v>
      </c>
      <c r="M20" s="173"/>
    </row>
    <row r="21" spans="1:16" customFormat="1" ht="12.75" customHeight="1" x14ac:dyDescent="0.25">
      <c r="A21" s="150"/>
      <c r="B21" s="181"/>
      <c r="C21" s="159"/>
      <c r="D21" s="159"/>
      <c r="E21" s="159"/>
      <c r="F21" s="159"/>
      <c r="G21" s="160"/>
      <c r="H21" s="182"/>
      <c r="I21" s="182"/>
      <c r="J21" s="182"/>
    </row>
    <row r="22" spans="1:16" customFormat="1" ht="12.4" customHeight="1" x14ac:dyDescent="0.25">
      <c r="A22" s="150">
        <v>3</v>
      </c>
      <c r="B22" s="183" t="s">
        <v>816</v>
      </c>
      <c r="C22" s="184"/>
      <c r="D22" s="184"/>
      <c r="E22" s="184"/>
      <c r="F22" s="184"/>
      <c r="G22" s="185"/>
      <c r="H22" s="172">
        <f>H12-H20</f>
        <v>-134431</v>
      </c>
      <c r="I22" s="172">
        <f>I12-I20</f>
        <v>27310</v>
      </c>
      <c r="J22" s="172">
        <f>J12-J20</f>
        <v>27449</v>
      </c>
      <c r="K22" s="164">
        <f>H22-I22</f>
        <v>-161741</v>
      </c>
      <c r="L22" s="164">
        <f>IF(AND(OR(H22=0,I22&lt;&gt;0),OR(I22=0,H22&lt;&gt;0)),IF((H22+I22+K22&lt;&gt;0),IF(AND(OR(H22&gt;0,I22&lt;0),OR(I22&gt;0,H22&lt;0)),ABS(K22/MIN(ABS(I22),ABS(H22))),10),"-"),10)</f>
        <v>10</v>
      </c>
      <c r="M22" s="186"/>
    </row>
    <row r="23" spans="1:16" customFormat="1" ht="12.75" customHeight="1" x14ac:dyDescent="0.25">
      <c r="A23" s="150"/>
      <c r="B23" s="174"/>
      <c r="C23" s="175"/>
      <c r="D23" s="175"/>
      <c r="E23" s="175"/>
      <c r="F23" s="175"/>
      <c r="G23" s="176"/>
      <c r="H23" s="177"/>
      <c r="I23" s="177"/>
      <c r="J23" s="177"/>
      <c r="M23" s="165"/>
    </row>
    <row r="24" spans="1:16" customFormat="1" ht="12.75" customHeight="1" x14ac:dyDescent="0.25">
      <c r="A24" s="150">
        <v>4</v>
      </c>
      <c r="B24" s="187" t="s">
        <v>817</v>
      </c>
      <c r="C24" s="188"/>
      <c r="D24" s="188"/>
      <c r="E24" s="188"/>
      <c r="F24" s="188"/>
      <c r="G24" s="189"/>
      <c r="H24" s="161">
        <v>4560</v>
      </c>
      <c r="I24" s="161">
        <v>187</v>
      </c>
      <c r="J24" s="166">
        <v>187</v>
      </c>
      <c r="K24" s="164">
        <f>H24-I24</f>
        <v>4373</v>
      </c>
      <c r="L24" s="164">
        <f>IF(AND(OR(H24=0,I24&lt;&gt;0),OR(I24=0,H24&lt;&gt;0)),IF((H24+I24+K24&lt;&gt;0),IF(AND(OR(H24&gt;0,I24&lt;0),OR(I24&gt;0,H24&lt;0)),ABS(K24/MIN(ABS(I24),ABS(H24))),10),"-"),10)</f>
        <v>23.385026737967916</v>
      </c>
      <c r="M24" s="167" t="s">
        <v>161</v>
      </c>
    </row>
    <row r="25" spans="1:16" customFormat="1" ht="12.75" customHeight="1" x14ac:dyDescent="0.25">
      <c r="A25" s="150">
        <v>5</v>
      </c>
      <c r="B25" s="187" t="s">
        <v>818</v>
      </c>
      <c r="C25" s="188"/>
      <c r="D25" s="188"/>
      <c r="E25" s="188"/>
      <c r="F25" s="188"/>
      <c r="G25" s="189"/>
      <c r="H25" s="161">
        <v>36784</v>
      </c>
      <c r="I25" s="161">
        <v>42357</v>
      </c>
      <c r="J25" s="166">
        <v>42357</v>
      </c>
      <c r="K25" s="164">
        <f>H25-I25</f>
        <v>-5573</v>
      </c>
      <c r="L25" s="164">
        <f>IF(AND(OR(H25=0,I25&lt;&gt;0),OR(I25=0,H25&lt;&gt;0)),IF((H25+I25+K25&lt;&gt;0),IF(AND(OR(H25&gt;0,I25&lt;0),OR(I25&gt;0,H25&lt;0)),ABS(K25/MIN(ABS(I25),ABS(H25))),10),"-"),10)</f>
        <v>0.15150608960417572</v>
      </c>
      <c r="M25" s="167"/>
    </row>
    <row r="26" spans="1:16" customFormat="1" ht="12.75" customHeight="1" x14ac:dyDescent="0.25">
      <c r="A26" s="150">
        <v>6</v>
      </c>
      <c r="B26" s="174" t="s">
        <v>819</v>
      </c>
      <c r="C26" s="175"/>
      <c r="D26" s="175"/>
      <c r="E26" s="175"/>
      <c r="F26" s="175"/>
      <c r="G26" s="176"/>
      <c r="H26" s="161">
        <v>0</v>
      </c>
      <c r="I26" s="161">
        <v>0</v>
      </c>
      <c r="J26" s="166">
        <v>0</v>
      </c>
      <c r="K26" s="164">
        <f>H26-I26</f>
        <v>0</v>
      </c>
      <c r="L26" s="164" t="str">
        <f>IF(AND(OR(H26=0,I26&lt;&gt;0),OR(I26=0,H26&lt;&gt;0)),IF((H26+I26+K26&lt;&gt;0),IF(AND(OR(H26&gt;0,I26&lt;0),OR(I26&gt;0,H26&lt;0)),ABS(K26/MIN(ABS(I26),ABS(H26))),10),"-"),10)</f>
        <v>-</v>
      </c>
      <c r="M26" s="167"/>
    </row>
    <row r="27" spans="1:16" customFormat="1" ht="12.75" customHeight="1" x14ac:dyDescent="0.25">
      <c r="A27" s="150">
        <v>7</v>
      </c>
      <c r="B27" s="174" t="s">
        <v>820</v>
      </c>
      <c r="C27" s="175"/>
      <c r="D27" s="175"/>
      <c r="E27" s="175"/>
      <c r="F27" s="175"/>
      <c r="G27" s="176"/>
      <c r="H27" s="161">
        <v>0</v>
      </c>
      <c r="I27" s="161">
        <v>0</v>
      </c>
      <c r="J27" s="166">
        <v>0</v>
      </c>
      <c r="K27" s="164">
        <f>H27-I27</f>
        <v>0</v>
      </c>
      <c r="L27" s="164" t="str">
        <f>IF(AND(OR(H27=0,I27&lt;&gt;0),OR(I27=0,H27&lt;&gt;0)),IF((H27+I27+K27&lt;&gt;0),IF(AND(OR(H27&gt;0,I27&lt;0),OR(I27&gt;0,H27&lt;0)),ABS(K27/MIN(ABS(I27),ABS(H27))),10),"-"),10)</f>
        <v>-</v>
      </c>
      <c r="M27" s="167"/>
    </row>
    <row r="28" spans="1:16" customFormat="1" ht="12.75" customHeight="1" x14ac:dyDescent="0.25">
      <c r="A28" s="150"/>
      <c r="B28" s="174"/>
      <c r="C28" s="175"/>
      <c r="D28" s="175"/>
      <c r="E28" s="175"/>
      <c r="F28" s="175"/>
      <c r="G28" s="176"/>
      <c r="H28" s="177"/>
      <c r="I28" s="177"/>
      <c r="J28" s="177"/>
      <c r="M28" s="190"/>
    </row>
    <row r="29" spans="1:16" customFormat="1" ht="12.75" customHeight="1" x14ac:dyDescent="0.25">
      <c r="A29" s="150">
        <v>8</v>
      </c>
      <c r="B29" s="169" t="s">
        <v>821</v>
      </c>
      <c r="C29" s="170"/>
      <c r="D29" s="170"/>
      <c r="E29" s="170"/>
      <c r="F29" s="170"/>
      <c r="G29" s="171"/>
      <c r="H29" s="172">
        <f>H22+H24+H25+H26+H27</f>
        <v>-93087</v>
      </c>
      <c r="I29" s="172">
        <f>I22+I24+I25+I26+I27</f>
        <v>69854</v>
      </c>
      <c r="J29" s="172">
        <f>J22+J24+J25+J26+J27</f>
        <v>69993</v>
      </c>
      <c r="K29" s="164">
        <f>H29-I29</f>
        <v>-162941</v>
      </c>
      <c r="L29" s="164">
        <f>IF(AND(OR(H29=0,I29&lt;&gt;0),OR(I29=0,H29&lt;&gt;0)),IF((H29+I29+K29&lt;&gt;0),IF(AND(OR(H29&gt;0,I29&lt;0),OR(I29&gt;0,H29&lt;0)),ABS(K29/MIN(ABS(I29),ABS(H29))),10),"-"),10)</f>
        <v>10</v>
      </c>
      <c r="M29" s="186"/>
    </row>
    <row r="30" spans="1:16" customFormat="1" ht="12.75" customHeight="1" x14ac:dyDescent="0.25">
      <c r="A30" s="150"/>
      <c r="B30" s="191"/>
      <c r="C30" s="192"/>
      <c r="D30" s="192"/>
      <c r="E30" s="192"/>
      <c r="F30" s="192"/>
      <c r="G30" s="193"/>
      <c r="H30" s="177"/>
      <c r="I30" s="177"/>
      <c r="J30" s="177"/>
    </row>
    <row r="31" spans="1:16" customFormat="1" ht="12.75" customHeight="1" x14ac:dyDescent="0.25">
      <c r="A31" s="150">
        <v>9</v>
      </c>
      <c r="B31" s="174" t="s">
        <v>822</v>
      </c>
      <c r="C31" s="175"/>
      <c r="D31" s="175"/>
      <c r="E31" s="175"/>
      <c r="F31" s="175"/>
      <c r="G31" s="176"/>
      <c r="H31" s="161">
        <v>50</v>
      </c>
      <c r="I31" s="161">
        <v>15</v>
      </c>
      <c r="J31" s="166">
        <v>-15</v>
      </c>
      <c r="K31" s="164">
        <f>H31-I31</f>
        <v>35</v>
      </c>
      <c r="L31" s="164">
        <f>IF(AND(OR(H31=0,I31&lt;&gt;0),OR(I31=0,H31&lt;&gt;0)),IF((H31+I31+K31&lt;&gt;0),IF(AND(OR(H31&gt;0,I31&lt;0),OR(I31&gt;0,H31&lt;0)),ABS(K31/MIN(ABS(I31),ABS(H31))),10),"-"),10)</f>
        <v>2.3333333333333335</v>
      </c>
      <c r="M31" s="167"/>
    </row>
    <row r="32" spans="1:16" customFormat="1" ht="12.75" customHeight="1" x14ac:dyDescent="0.25">
      <c r="A32" s="150"/>
      <c r="B32" s="174"/>
      <c r="C32" s="175"/>
      <c r="D32" s="175"/>
      <c r="E32" s="175"/>
      <c r="F32" s="175"/>
      <c r="G32" s="176"/>
      <c r="H32" s="166"/>
      <c r="I32" s="166"/>
      <c r="J32" s="166"/>
      <c r="K32" s="164"/>
      <c r="L32" s="164"/>
      <c r="M32" s="194"/>
    </row>
    <row r="33" spans="1:13" customFormat="1" ht="12.75" customHeight="1" x14ac:dyDescent="0.25">
      <c r="A33" s="150">
        <v>10</v>
      </c>
      <c r="B33" s="169" t="s">
        <v>823</v>
      </c>
      <c r="C33" s="170"/>
      <c r="D33" s="170"/>
      <c r="E33" s="170"/>
      <c r="F33" s="170"/>
      <c r="G33" s="171"/>
      <c r="H33" s="172">
        <f>H29+H31</f>
        <v>-93037</v>
      </c>
      <c r="I33" s="172">
        <f>I29+I31</f>
        <v>69869</v>
      </c>
      <c r="J33" s="172">
        <f>J29+J31</f>
        <v>69978</v>
      </c>
      <c r="K33" s="164">
        <f>H33-I33</f>
        <v>-162906</v>
      </c>
      <c r="L33" s="164">
        <f>IF(AND(OR(H33=0,I33&lt;&gt;0),OR(I33=0,H33&lt;&gt;0)),IF((H33+I33+K33&lt;&gt;0),IF(AND(OR(H33&gt;0,I33&lt;0),OR(I33&gt;0,H33&lt;0)),ABS(K33/MIN(ABS(I33),ABS(H33))),10),"-"),10)</f>
        <v>10</v>
      </c>
      <c r="M33" s="195"/>
    </row>
    <row r="34" spans="1:13" customFormat="1" ht="12.75" customHeight="1" x14ac:dyDescent="0.25">
      <c r="A34" s="150"/>
      <c r="B34" s="174"/>
      <c r="C34" s="175"/>
      <c r="D34" s="175"/>
      <c r="E34" s="175"/>
      <c r="F34" s="175"/>
      <c r="G34" s="176"/>
      <c r="H34" s="177"/>
      <c r="I34" s="177"/>
      <c r="J34" s="177"/>
    </row>
    <row r="35" spans="1:13" customFormat="1" ht="12.75" customHeight="1" x14ac:dyDescent="0.25">
      <c r="A35" s="150">
        <v>11</v>
      </c>
      <c r="B35" s="174" t="s">
        <v>824</v>
      </c>
      <c r="C35" s="175"/>
      <c r="D35" s="175"/>
      <c r="E35" s="175"/>
      <c r="F35" s="175"/>
      <c r="G35" s="176"/>
      <c r="H35" s="161">
        <v>805</v>
      </c>
      <c r="I35" s="161">
        <v>0</v>
      </c>
      <c r="J35" s="166">
        <v>0</v>
      </c>
      <c r="K35" s="164">
        <f>H35-I35</f>
        <v>805</v>
      </c>
      <c r="L35" s="164">
        <f>IF(AND(OR(H35=0,I35&lt;&gt;0),OR(I35=0,H35&lt;&gt;0)),IF((H35+I35+K35&lt;&gt;0),IF(AND(OR(H35&gt;0,I35&lt;0),OR(I35&gt;0,H35&lt;0)),ABS(K35/MIN(ABS(I35),ABS(H35))),10),"-"),10)</f>
        <v>10</v>
      </c>
      <c r="M35" s="195"/>
    </row>
    <row r="36" spans="1:13" customFormat="1" ht="12.75" customHeight="1" x14ac:dyDescent="0.25">
      <c r="A36" s="150">
        <v>12</v>
      </c>
      <c r="B36" s="174" t="s">
        <v>825</v>
      </c>
      <c r="C36" s="175"/>
      <c r="D36" s="175"/>
      <c r="E36" s="175"/>
      <c r="F36" s="175"/>
      <c r="G36" s="176"/>
      <c r="H36" s="161">
        <v>-69991</v>
      </c>
      <c r="I36" s="161">
        <v>100983</v>
      </c>
      <c r="J36" s="166">
        <v>100983</v>
      </c>
      <c r="K36" s="164">
        <f>H36-I36</f>
        <v>-170974</v>
      </c>
      <c r="L36" s="164">
        <f>IF(AND(OR(H36=0,I36&lt;&gt;0),OR(I36=0,H36&lt;&gt;0)),IF((H36+I36+K36&lt;&gt;0),IF(AND(OR(H36&gt;0,I36&lt;0),OR(I36&gt;0,H36&lt;0)),ABS(K36/MIN(ABS(I36),ABS(H36))),10),"-"),10)</f>
        <v>10</v>
      </c>
      <c r="M36" s="195"/>
    </row>
    <row r="37" spans="1:13" customFormat="1" ht="12.75" customHeight="1" x14ac:dyDescent="0.25">
      <c r="A37" s="150">
        <v>13</v>
      </c>
      <c r="B37" s="174" t="s">
        <v>826</v>
      </c>
      <c r="C37" s="175"/>
      <c r="D37" s="175"/>
      <c r="E37" s="175"/>
      <c r="F37" s="175"/>
      <c r="G37" s="176"/>
      <c r="H37" s="161">
        <v>0</v>
      </c>
      <c r="I37" s="161">
        <v>0</v>
      </c>
      <c r="J37" s="166">
        <v>0</v>
      </c>
      <c r="K37" s="164">
        <f>H37-I37</f>
        <v>0</v>
      </c>
      <c r="L37" s="164" t="str">
        <f>IF(AND(OR(H37=0,I37&lt;&gt;0),OR(I37=0,H37&lt;&gt;0)),IF((H37+I37+K37&lt;&gt;0),IF(AND(OR(H37&gt;0,I37&lt;0),OR(I37&gt;0,H37&lt;0)),ABS(K37/MIN(ABS(I37),ABS(H37))),10),"-"),10)</f>
        <v>-</v>
      </c>
      <c r="M37" s="129" t="s">
        <v>827</v>
      </c>
    </row>
    <row r="38" spans="1:13" customFormat="1" ht="12.75" customHeight="1" x14ac:dyDescent="0.25">
      <c r="A38" s="150">
        <v>14</v>
      </c>
      <c r="B38" s="174" t="s">
        <v>828</v>
      </c>
      <c r="C38" s="175"/>
      <c r="D38" s="175"/>
      <c r="E38" s="175"/>
      <c r="F38" s="175"/>
      <c r="G38" s="176"/>
      <c r="H38" s="161">
        <v>0</v>
      </c>
      <c r="I38" s="161">
        <v>0</v>
      </c>
      <c r="J38" s="166">
        <v>0</v>
      </c>
      <c r="K38" s="164">
        <f>H38-I38</f>
        <v>0</v>
      </c>
      <c r="L38" s="164" t="str">
        <f>IF(AND(OR(H38=0,I38&lt;&gt;0),OR(I38=0,H38&lt;&gt;0)),IF((H38+I38+K38&lt;&gt;0),IF(AND(OR(H38&gt;0,I38&lt;0),OR(I38&gt;0,H38&lt;0)),ABS(K38/MIN(ABS(I38),ABS(H38))),10),"-"),10)</f>
        <v>-</v>
      </c>
      <c r="M38" s="167"/>
    </row>
    <row r="39" spans="1:13" customFormat="1" ht="12.75" customHeight="1" x14ac:dyDescent="0.25">
      <c r="A39" s="150"/>
      <c r="B39" s="174"/>
      <c r="C39" s="175"/>
      <c r="D39" s="175"/>
      <c r="E39" s="175"/>
      <c r="F39" s="175"/>
      <c r="G39" s="176"/>
      <c r="H39" s="196"/>
      <c r="I39" s="196"/>
      <c r="J39" s="177"/>
    </row>
    <row r="40" spans="1:13" customFormat="1" ht="12.75" customHeight="1" x14ac:dyDescent="0.25">
      <c r="A40" s="150">
        <v>15</v>
      </c>
      <c r="B40" s="169" t="s">
        <v>829</v>
      </c>
      <c r="C40" s="170"/>
      <c r="D40" s="170"/>
      <c r="E40" s="170"/>
      <c r="F40" s="170"/>
      <c r="G40" s="171"/>
      <c r="H40" s="172">
        <f>H33+H35+H36+H37+H38</f>
        <v>-162223</v>
      </c>
      <c r="I40" s="172">
        <f>I33+I35+I36+I37+I38</f>
        <v>170852</v>
      </c>
      <c r="J40" s="172">
        <f>J33+J35+J36+J37</f>
        <v>170961</v>
      </c>
      <c r="K40" s="164">
        <f>H40-I40</f>
        <v>-333075</v>
      </c>
      <c r="L40" s="164">
        <f>IF(AND(OR(H40=0,I40&lt;&gt;0),OR(I40=0,H40&lt;&gt;0)),IF((H40+I40+K40&lt;&gt;0),IF(AND(OR(H40&gt;0,I40&lt;0),OR(I40&gt;0,H40&lt;0)),ABS(K40/MIN(ABS(I40),ABS(H40))),10),"-"),10)</f>
        <v>10</v>
      </c>
      <c r="M40" s="195"/>
    </row>
    <row r="41" spans="1:13" customFormat="1" ht="12.75" customHeight="1" x14ac:dyDescent="0.25">
      <c r="A41" s="150"/>
      <c r="B41" s="174"/>
      <c r="C41" s="175"/>
      <c r="D41" s="175"/>
      <c r="E41" s="175"/>
      <c r="F41" s="175"/>
      <c r="G41" s="176"/>
      <c r="H41" s="177"/>
      <c r="I41" s="177"/>
      <c r="J41" s="177"/>
    </row>
    <row r="42" spans="1:13" customFormat="1" ht="12.75" customHeight="1" x14ac:dyDescent="0.25">
      <c r="A42" s="150">
        <v>16</v>
      </c>
      <c r="B42" s="151" t="s">
        <v>830</v>
      </c>
      <c r="C42" s="152"/>
      <c r="D42" s="152"/>
      <c r="E42" s="152"/>
      <c r="F42" s="152"/>
      <c r="G42" s="153"/>
      <c r="H42" s="178"/>
      <c r="I42" s="178"/>
      <c r="J42" s="178"/>
      <c r="K42" s="129"/>
    </row>
    <row r="43" spans="1:13" customFormat="1" ht="12.75" customHeight="1" x14ac:dyDescent="0.25">
      <c r="A43" s="150" t="s">
        <v>831</v>
      </c>
      <c r="B43" s="174"/>
      <c r="C43" s="175" t="s">
        <v>832</v>
      </c>
      <c r="D43" s="175"/>
      <c r="E43" s="175"/>
      <c r="F43" s="175"/>
      <c r="G43" s="176"/>
      <c r="H43" s="161">
        <v>35764</v>
      </c>
      <c r="I43" s="161">
        <v>31983</v>
      </c>
      <c r="J43" s="166">
        <v>31983</v>
      </c>
      <c r="K43" s="164">
        <f t="shared" ref="K43:K49" si="4">H43-I43</f>
        <v>3781</v>
      </c>
      <c r="L43" s="164">
        <f t="shared" ref="L43:L49" si="5">IF(AND(OR(H43=0,I43&lt;&gt;0),OR(I43=0,H43&lt;&gt;0)),IF((H43+I43+K43&lt;&gt;0),IF(AND(OR(H43&gt;0,I43&lt;0),OR(I43&gt;0,H43&lt;0)),ABS(K43/MIN(ABS(I43),ABS(H43))),10),"-"),10)</f>
        <v>0.11821905387236969</v>
      </c>
      <c r="M43" s="195"/>
    </row>
    <row r="44" spans="1:13" customFormat="1" ht="12.75" customHeight="1" x14ac:dyDescent="0.25">
      <c r="A44" s="150" t="s">
        <v>833</v>
      </c>
      <c r="B44" s="174"/>
      <c r="C44" s="175" t="s">
        <v>834</v>
      </c>
      <c r="D44" s="175"/>
      <c r="E44" s="175"/>
      <c r="F44" s="175"/>
      <c r="G44" s="176"/>
      <c r="H44" s="161">
        <v>-11334</v>
      </c>
      <c r="I44" s="161">
        <v>8710</v>
      </c>
      <c r="J44" s="166">
        <v>8710</v>
      </c>
      <c r="K44" s="164">
        <f t="shared" si="4"/>
        <v>-20044</v>
      </c>
      <c r="L44" s="164">
        <f t="shared" si="5"/>
        <v>10</v>
      </c>
      <c r="M44" s="195"/>
    </row>
    <row r="45" spans="1:13" customFormat="1" ht="12.75" customHeight="1" x14ac:dyDescent="0.25">
      <c r="A45" s="150" t="s">
        <v>835</v>
      </c>
      <c r="B45" s="174"/>
      <c r="C45" s="175" t="s">
        <v>836</v>
      </c>
      <c r="D45" s="175"/>
      <c r="E45" s="175"/>
      <c r="F45" s="175"/>
      <c r="G45" s="176"/>
      <c r="H45" s="161">
        <v>-187458</v>
      </c>
      <c r="I45" s="161">
        <v>130159</v>
      </c>
      <c r="J45" s="166">
        <v>130268</v>
      </c>
      <c r="K45" s="164">
        <f t="shared" si="4"/>
        <v>-317617</v>
      </c>
      <c r="L45" s="164">
        <f t="shared" si="5"/>
        <v>10</v>
      </c>
      <c r="M45" s="195"/>
    </row>
    <row r="46" spans="1:13" customFormat="1" ht="12.75" customHeight="1" x14ac:dyDescent="0.25">
      <c r="A46" s="150" t="s">
        <v>837</v>
      </c>
      <c r="B46" s="174"/>
      <c r="C46" s="175" t="s">
        <v>838</v>
      </c>
      <c r="D46" s="175"/>
      <c r="E46" s="175"/>
      <c r="F46" s="175"/>
      <c r="G46" s="176"/>
      <c r="H46" s="161">
        <v>805</v>
      </c>
      <c r="I46" s="161">
        <v>0</v>
      </c>
      <c r="J46" s="166">
        <v>0</v>
      </c>
      <c r="K46" s="164">
        <f t="shared" si="4"/>
        <v>805</v>
      </c>
      <c r="L46" s="164">
        <f t="shared" si="5"/>
        <v>10</v>
      </c>
      <c r="M46" s="195"/>
    </row>
    <row r="47" spans="1:13" customFormat="1" ht="12.75" customHeight="1" x14ac:dyDescent="0.25">
      <c r="A47" s="150" t="s">
        <v>839</v>
      </c>
      <c r="B47" s="174"/>
      <c r="C47" s="175" t="s">
        <v>840</v>
      </c>
      <c r="D47" s="175"/>
      <c r="E47" s="175"/>
      <c r="F47" s="175"/>
      <c r="G47" s="176"/>
      <c r="H47" s="197">
        <f>SUM(H43:H46)</f>
        <v>-162223</v>
      </c>
      <c r="I47" s="197">
        <f>SUM(I43:I46)</f>
        <v>170852</v>
      </c>
      <c r="J47" s="197">
        <f>SUM(J43:J46)</f>
        <v>170961</v>
      </c>
      <c r="K47" s="164">
        <f t="shared" si="4"/>
        <v>-333075</v>
      </c>
      <c r="L47" s="164">
        <f t="shared" si="5"/>
        <v>10</v>
      </c>
      <c r="M47" s="195"/>
    </row>
    <row r="48" spans="1:13" x14ac:dyDescent="0.2">
      <c r="A48" s="150" t="s">
        <v>841</v>
      </c>
      <c r="B48" s="174"/>
      <c r="C48" s="175" t="s">
        <v>842</v>
      </c>
      <c r="D48" s="175"/>
      <c r="E48" s="175"/>
      <c r="F48" s="175"/>
      <c r="G48" s="176"/>
      <c r="H48" s="161">
        <v>0</v>
      </c>
      <c r="I48" s="161">
        <v>0</v>
      </c>
      <c r="J48" s="166">
        <v>0</v>
      </c>
      <c r="K48" s="164">
        <f t="shared" si="4"/>
        <v>0</v>
      </c>
      <c r="L48" s="164" t="str">
        <f t="shared" si="5"/>
        <v>-</v>
      </c>
      <c r="M48" s="195"/>
    </row>
    <row r="49" spans="1:13" x14ac:dyDescent="0.2">
      <c r="A49" s="150" t="s">
        <v>843</v>
      </c>
      <c r="B49" s="170" t="s">
        <v>844</v>
      </c>
      <c r="C49" s="170"/>
      <c r="D49" s="170"/>
      <c r="E49" s="170"/>
      <c r="F49" s="170"/>
      <c r="G49" s="170"/>
      <c r="H49" s="172">
        <f>H47+H48</f>
        <v>-162223</v>
      </c>
      <c r="I49" s="172">
        <f>I47+I48</f>
        <v>170852</v>
      </c>
      <c r="J49" s="198">
        <f>J47+J48</f>
        <v>170961</v>
      </c>
      <c r="K49" s="164">
        <f t="shared" si="4"/>
        <v>-333075</v>
      </c>
      <c r="L49" s="164">
        <f t="shared" si="5"/>
        <v>10</v>
      </c>
      <c r="M49" s="195"/>
    </row>
    <row r="50" spans="1:13" x14ac:dyDescent="0.2">
      <c r="A50" s="150"/>
      <c r="B50" s="174"/>
      <c r="D50" s="175"/>
      <c r="E50" s="175"/>
      <c r="F50" s="175"/>
      <c r="G50" s="176"/>
      <c r="H50" s="196"/>
      <c r="I50" s="177"/>
      <c r="J50" s="177"/>
    </row>
    <row r="51" spans="1:13" x14ac:dyDescent="0.2">
      <c r="A51" s="150">
        <v>17</v>
      </c>
      <c r="B51" s="151" t="s">
        <v>845</v>
      </c>
      <c r="C51" s="152"/>
      <c r="D51" s="152"/>
      <c r="E51" s="152"/>
      <c r="F51" s="152"/>
      <c r="G51" s="153"/>
      <c r="H51" s="178"/>
      <c r="I51" s="178"/>
      <c r="J51" s="178"/>
    </row>
    <row r="52" spans="1:13" x14ac:dyDescent="0.2">
      <c r="A52" s="150" t="s">
        <v>846</v>
      </c>
      <c r="B52" s="174"/>
      <c r="C52" s="175" t="s">
        <v>847</v>
      </c>
      <c r="D52" s="175"/>
      <c r="E52" s="175"/>
      <c r="F52" s="175"/>
      <c r="G52" s="176"/>
      <c r="H52" s="161">
        <v>0</v>
      </c>
      <c r="I52" s="161">
        <v>0</v>
      </c>
      <c r="J52" s="166">
        <v>0</v>
      </c>
      <c r="K52" s="164">
        <f>H52-I52</f>
        <v>0</v>
      </c>
      <c r="L52" s="164" t="str">
        <f>IF(AND(OR(H52=0,I52&lt;&gt;0),OR(I52=0,H52&lt;&gt;0)),IF((H52+I52+K52&lt;&gt;0),IF(AND(OR(H52&gt;0,I52&lt;0),OR(I52&gt;0,H52&lt;0)),ABS(K52/MIN(ABS(I52),ABS(H52))),10),"-"),10)</f>
        <v>-</v>
      </c>
      <c r="M52" s="195"/>
    </row>
    <row r="53" spans="1:13" x14ac:dyDescent="0.2">
      <c r="A53" s="150" t="s">
        <v>848</v>
      </c>
      <c r="B53" s="174"/>
      <c r="C53" s="175" t="s">
        <v>849</v>
      </c>
      <c r="D53" s="175"/>
      <c r="E53" s="175"/>
      <c r="F53" s="175"/>
      <c r="G53" s="176"/>
      <c r="H53" s="197">
        <f>H33-H52</f>
        <v>-93037</v>
      </c>
      <c r="I53" s="197">
        <f>I33-I52</f>
        <v>69869</v>
      </c>
      <c r="J53" s="197">
        <v>0</v>
      </c>
      <c r="K53" s="199">
        <f>H53-I53</f>
        <v>-162906</v>
      </c>
      <c r="L53" s="164">
        <f>IF(AND(OR(H53=0,I53&lt;&gt;0),OR(I53=0,H53&lt;&gt;0)),IF((H53+I53+K53&lt;&gt;0),IF(AND(OR(H53&gt;0,I53&lt;0),OR(I53&gt;0,H53&lt;0)),ABS(K53/MIN(ABS(I53),ABS(H53))),10),"-"),10)</f>
        <v>10</v>
      </c>
      <c r="M53" s="195"/>
    </row>
    <row r="55" spans="1:13" x14ac:dyDescent="0.2">
      <c r="B55" s="129" t="s">
        <v>850</v>
      </c>
    </row>
  </sheetData>
  <sheetProtection algorithmName="SHA-512" hashValue="8ziD1oUYNLQ8/Fpxnw7Ggvj6xlGvOV7DFipA5FZ+/BRtfE7JXh1St/GbSNvQLfQYUFn70f5Z7t3paLsxHGljIg==" saltValue="nsF6nDEUOli1WS22qtVRmw==" spinCount="100000" sheet="1" objects="1" scenarios="1"/>
  <conditionalFormatting sqref="M7">
    <cfRule type="expression" dxfId="197" priority="1">
      <formula>AND(OR((L7)&gt;2,(L7)&lt;-2),(L7)&lt;&gt;"-",OR((K7)&gt;750,(K7)&lt;-750))</formula>
    </cfRule>
  </conditionalFormatting>
  <conditionalFormatting sqref="M9:M10">
    <cfRule type="expression" dxfId="196" priority="2">
      <formula>AND(OR((L7)&gt;2,(L7)&lt;-2),(L7)&lt;&gt;"-",OR((K7)&gt;750,(K7)&lt;-750))</formula>
    </cfRule>
  </conditionalFormatting>
  <conditionalFormatting sqref="M11">
    <cfRule type="expression" dxfId="195" priority="3">
      <formula>AND(OR((L11)&gt;2,(L11)&lt;-2),(L11)&lt;&gt;"-",OR((K11)&gt;750,(K11)&lt;-750))</formula>
    </cfRule>
  </conditionalFormatting>
  <conditionalFormatting sqref="M16">
    <cfRule type="expression" dxfId="194" priority="4">
      <formula>AND(OR((L16)&gt;2,(L16)&lt;-2),(L16)&lt;&gt;"-",OR((K16)&gt;750,(K16)&lt;-750))</formula>
    </cfRule>
  </conditionalFormatting>
  <conditionalFormatting sqref="M18:M19">
    <cfRule type="expression" dxfId="193" priority="5">
      <formula>AND(OR((L16)&gt;2,(L16)&lt;-2),(L16)&lt;&gt;"-",OR((K16)&gt;750,(K16)&lt;-750))</formula>
    </cfRule>
  </conditionalFormatting>
  <conditionalFormatting sqref="I6">
    <cfRule type="expression" dxfId="192" priority="6">
      <formula>I6&lt;&gt;J6</formula>
    </cfRule>
  </conditionalFormatting>
  <conditionalFormatting sqref="I7">
    <cfRule type="expression" dxfId="191" priority="7">
      <formula>I7&lt;&gt;J7</formula>
    </cfRule>
  </conditionalFormatting>
  <conditionalFormatting sqref="I8">
    <cfRule type="expression" dxfId="190" priority="8">
      <formula>I8&lt;&gt;J8</formula>
    </cfRule>
  </conditionalFormatting>
  <conditionalFormatting sqref="I10">
    <cfRule type="expression" dxfId="189" priority="9">
      <formula>I10&lt;&gt;J10</formula>
    </cfRule>
  </conditionalFormatting>
  <conditionalFormatting sqref="I11">
    <cfRule type="expression" dxfId="188" priority="10">
      <formula>I11&lt;&gt;J11</formula>
    </cfRule>
  </conditionalFormatting>
  <conditionalFormatting sqref="I15">
    <cfRule type="expression" dxfId="187" priority="11">
      <formula>I15&lt;&gt;J15</formula>
    </cfRule>
  </conditionalFormatting>
  <conditionalFormatting sqref="I16">
    <cfRule type="expression" dxfId="186" priority="12">
      <formula>I16&lt;&gt;J16</formula>
    </cfRule>
  </conditionalFormatting>
  <conditionalFormatting sqref="I17">
    <cfRule type="expression" dxfId="185" priority="13">
      <formula>I17&lt;&gt;J17</formula>
    </cfRule>
  </conditionalFormatting>
  <conditionalFormatting sqref="I19">
    <cfRule type="expression" dxfId="184" priority="14">
      <formula>I19&lt;&gt;J19</formula>
    </cfRule>
  </conditionalFormatting>
  <conditionalFormatting sqref="I24">
    <cfRule type="expression" dxfId="183" priority="15">
      <formula>I24&lt;&gt;J24</formula>
    </cfRule>
  </conditionalFormatting>
  <conditionalFormatting sqref="I27">
    <cfRule type="expression" dxfId="182" priority="16">
      <formula>I27&lt;&gt;J27</formula>
    </cfRule>
  </conditionalFormatting>
  <conditionalFormatting sqref="I35">
    <cfRule type="expression" dxfId="181" priority="17">
      <formula>I35&lt;&gt;J35</formula>
    </cfRule>
  </conditionalFormatting>
  <conditionalFormatting sqref="I36">
    <cfRule type="expression" dxfId="180" priority="18">
      <formula>I36&lt;&gt;J36</formula>
    </cfRule>
  </conditionalFormatting>
  <conditionalFormatting sqref="I37">
    <cfRule type="expression" dxfId="179" priority="19">
      <formula>I37&lt;&gt;J37</formula>
    </cfRule>
  </conditionalFormatting>
  <conditionalFormatting sqref="I38">
    <cfRule type="expression" dxfId="178" priority="20">
      <formula>I38&lt;&gt;J38</formula>
    </cfRule>
  </conditionalFormatting>
  <conditionalFormatting sqref="I43">
    <cfRule type="expression" dxfId="177" priority="21">
      <formula>I43&lt;&gt;J43</formula>
    </cfRule>
  </conditionalFormatting>
  <conditionalFormatting sqref="I44">
    <cfRule type="expression" dxfId="176" priority="22">
      <formula>I44&lt;&gt;J44</formula>
    </cfRule>
  </conditionalFormatting>
  <conditionalFormatting sqref="I45">
    <cfRule type="expression" dxfId="175" priority="23">
      <formula>I45&lt;&gt;J45</formula>
    </cfRule>
  </conditionalFormatting>
  <conditionalFormatting sqref="I46">
    <cfRule type="expression" dxfId="174" priority="24">
      <formula>I46&lt;&gt;J46</formula>
    </cfRule>
  </conditionalFormatting>
  <conditionalFormatting sqref="I48">
    <cfRule type="expression" dxfId="173" priority="25">
      <formula>I48&lt;&gt;J48</formula>
    </cfRule>
  </conditionalFormatting>
  <conditionalFormatting sqref="I52">
    <cfRule type="expression" dxfId="172" priority="26">
      <formula>I52&lt;&gt;J52</formula>
    </cfRule>
  </conditionalFormatting>
  <conditionalFormatting sqref="M24:M27">
    <cfRule type="expression" dxfId="171" priority="27">
      <formula>AND(OR((L24)&gt;2,(L24)&lt;-2),(L24)&lt;&gt;"-",OR((K24)&gt;750,(K24)&lt;-750))</formula>
    </cfRule>
  </conditionalFormatting>
  <conditionalFormatting sqref="I9">
    <cfRule type="expression" dxfId="170" priority="28">
      <formula>I9&lt;&gt;J9</formula>
    </cfRule>
  </conditionalFormatting>
  <conditionalFormatting sqref="I18">
    <cfRule type="expression" dxfId="169" priority="29">
      <formula>I18&lt;&gt;J18</formula>
    </cfRule>
  </conditionalFormatting>
  <conditionalFormatting sqref="I25">
    <cfRule type="expression" dxfId="168" priority="30">
      <formula>I25&lt;&gt;J25</formula>
    </cfRule>
  </conditionalFormatting>
  <conditionalFormatting sqref="I26">
    <cfRule type="expression" dxfId="167" priority="31">
      <formula>I26&lt;&gt;J26</formula>
    </cfRule>
  </conditionalFormatting>
  <conditionalFormatting sqref="I31">
    <cfRule type="expression" dxfId="166" priority="32">
      <formula>I31&lt;&gt;J31</formula>
    </cfRule>
  </conditionalFormatting>
  <dataValidations count="21">
    <dataValidation type="whole" operator="greaterThan" allowBlank="1" showInputMessage="1" showErrorMessage="1" errorTitle="Whole numbers only allowed" error="All monies should be independently rounded to the nearest £1,000." sqref="H43:J49">
      <formula1>-99999999</formula1>
    </dataValidation>
    <dataValidation type="whole" operator="greaterThan" allowBlank="1" showInputMessage="1" showErrorMessage="1" errorTitle="Whole numbers only allowed" error="All monies should be independently rounded to the nearest £1,000." sqref="H52:J53">
      <formula1>-99999999</formula1>
    </dataValidation>
    <dataValidation type="whole" operator="greaterThan" allowBlank="1" showInputMessage="1" showErrorMessage="1" errorTitle="Whole numbers only allowed" error="All monies should be independently rounded to the nearest £1,000." sqref="H18:I18">
      <formula1>-99999999</formula1>
    </dataValidation>
    <dataValidation type="whole" operator="greaterThan" allowBlank="1" showInputMessage="1" showErrorMessage="1" errorTitle="Whole numbers only allowed" error="All monies should be independently rounded to the nearest £1,000." sqref="J35:J38">
      <formula1>-99999999</formula1>
    </dataValidation>
    <dataValidation type="whole" operator="greaterThan" allowBlank="1" showInputMessage="1" showErrorMessage="1" errorTitle="Whole numbers only allowed" error="All monies should be independently rounded to the nearest £1,000." sqref="H35:I37">
      <formula1>-99999999</formula1>
    </dataValidation>
    <dataValidation type="whole" operator="greaterThan" allowBlank="1" showInputMessage="1" showErrorMessage="1" errorTitle="Whole numbers only allowed" error="All monies should be independently rounded to the nearest £1,000." sqref="H24:J27">
      <formula1>-99999999</formula1>
    </dataValidation>
    <dataValidation type="whole" operator="greaterThan" allowBlank="1" showInputMessage="1" showErrorMessage="1" errorTitle="Whole numbers only allowed" error="All monies should be independently rounded to the nearest £1,000." sqref="I15:I17">
      <formula1>-99999999</formula1>
    </dataValidation>
    <dataValidation type="whole" operator="greaterThan" allowBlank="1" showInputMessage="1" showErrorMessage="1" errorTitle="Whole numbers only allowed" error="All monies should be independently rounded to the nearest £1,000." sqref="I19">
      <formula1>-99999999</formula1>
    </dataValidation>
    <dataValidation type="whole" operator="greaterThan" allowBlank="1" showInputMessage="1" showErrorMessage="1" errorTitle="Whole numbers only allowed" error="All monies should be independently rounded to the nearest £1,000." sqref="J6:J11">
      <formula1>-99999999</formula1>
    </dataValidation>
    <dataValidation type="whole" operator="greaterThan" allowBlank="1" showInputMessage="1" showErrorMessage="1" errorTitle="Whole numbers only allowed" error="All monies should be independently rounded to the nearest £1,000." sqref="I6:I8">
      <formula1>-99999999</formula1>
    </dataValidation>
    <dataValidation type="whole" operator="greaterThan" allowBlank="1" showInputMessage="1" showErrorMessage="1" errorTitle="Whole numbers only allowed" error="All monies should be independently rounded to the nearest £1,000." sqref="I10:I11">
      <formula1>-99999999</formula1>
    </dataValidation>
    <dataValidation type="whole" operator="greaterThan" allowBlank="1" showInputMessage="1" showErrorMessage="1" errorTitle="Whole numbers only allowed" error="All monies should be independently rounded to the nearest £1,000." sqref="J15:J19">
      <formula1>-99999999</formula1>
    </dataValidation>
    <dataValidation type="whole" operator="greaterThan" allowBlank="1" showInputMessage="1" showErrorMessage="1" errorTitle="Whole numbers only allowed" error="All monies should be independently rounded to the nearest £1,000." sqref="H9:I9">
      <formula1>-99999999</formula1>
    </dataValidation>
    <dataValidation type="whole" operator="greaterThan" allowBlank="1" showInputMessage="1" showErrorMessage="1" errorTitle="Whole numbers only allowed" error="All monies should be independently rounded to the nearest £1,000." sqref="H31:J31">
      <formula1>-99999999</formula1>
    </dataValidation>
    <dataValidation type="textLength" allowBlank="1" showInputMessage="1" showErrorMessage="1" errorTitle="Maximum 255 text characters" error="Only text up to 255 characters is allowed here." promptTitle="Maximum 255 text characters" prompt=" " sqref="M38">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M41)" sqref="H38">
      <formula1>-99999999</formula1>
    </dataValidation>
    <dataValidation type="whole" operator="greaterThan" allowBlank="1" showInputMessage="1" showErrorMessage="1" errorTitle="Whole numbers only allowed" error="All monies should be independently rounded to the nearest £1,000." sqref="I38">
      <formula1>-9999999</formula1>
    </dataValidation>
    <dataValidation type="whole" operator="greaterThan" allowBlank="1" showInputMessage="1" showErrorMessage="1" errorTitle="Whole numbers only allowed" error="All monies should be independently rounded to the nearest £1,000." sqref="H6:H8">
      <formula1>-999999999</formula1>
    </dataValidation>
    <dataValidation type="whole" operator="greaterThan" allowBlank="1" showInputMessage="1" showErrorMessage="1" errorTitle="Whole numbers only allowed" error="All monies should be independently rounded to the nearest £1,000." sqref="H10:H11">
      <formula1>-999999999</formula1>
    </dataValidation>
    <dataValidation type="whole" operator="greaterThan" allowBlank="1" showInputMessage="1" showErrorMessage="1" errorTitle="Whole numbers only allowed" error="All monies should be independently rounded to the nearest £1,000." sqref="H15:H17">
      <formula1>-999999999</formula1>
    </dataValidation>
    <dataValidation type="whole" operator="greaterThan" allowBlank="1" showInputMessage="1" showErrorMessage="1" errorTitle="Whole numbers only allowed" error="All monies should be independently rounded to the nearest £1,000." sqref="H19">
      <formula1>-999999999</formula1>
    </dataValidation>
  </dataValidations>
  <printOptions headings="1" gridLines="1"/>
  <pageMargins left="0.11811023622047245" right="0.11811023622047245" top="0.35433070866141736" bottom="0.35433070866141736" header="0.11811023622047245" footer="0.11811023622047245"/>
  <pageSetup paperSize="8" scale="7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M9:M11 M24:M27 M18:M19 M7 M16 M31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9"/>
  <sheetViews>
    <sheetView zoomScaleNormal="100" workbookViewId="0">
      <pane ySplit="4" topLeftCell="A5" activePane="bottomLeft" state="frozenSplit"/>
      <selection pane="bottomLeft" activeCell="I59" sqref="I59"/>
    </sheetView>
  </sheetViews>
  <sheetFormatPr defaultColWidth="9.140625" defaultRowHeight="12.75" x14ac:dyDescent="0.2"/>
  <cols>
    <col min="1" max="1" width="10" style="200" bestFit="1" customWidth="1"/>
    <col min="2" max="2" width="2.140625" style="129" customWidth="1"/>
    <col min="3" max="3" width="52.85546875" style="129" customWidth="1"/>
    <col min="4" max="4" width="51.42578125" style="129" hidden="1" customWidth="1"/>
    <col min="5" max="6" width="1.42578125" style="129" hidden="1" customWidth="1"/>
    <col min="7" max="7" width="0.42578125" style="129" hidden="1" customWidth="1"/>
    <col min="8" max="9" width="17.140625" style="129" customWidth="1"/>
    <col min="10" max="10" width="15.5703125" style="129" hidden="1" customWidth="1"/>
    <col min="11" max="12" width="14.42578125" style="129" hidden="1" customWidth="1"/>
    <col min="13" max="13" width="73.28515625" style="129" customWidth="1"/>
    <col min="14" max="14" width="9.140625" style="129" customWidth="1"/>
    <col min="15" max="16384" width="9.140625" style="129"/>
  </cols>
  <sheetData>
    <row r="1" spans="1:17" customFormat="1" ht="45" customHeight="1" x14ac:dyDescent="0.25">
      <c r="A1" s="201" t="s">
        <v>851</v>
      </c>
      <c r="B1" s="202" t="s">
        <v>852</v>
      </c>
      <c r="C1" s="131"/>
      <c r="D1" s="203"/>
      <c r="E1" s="204"/>
      <c r="F1" s="204"/>
      <c r="G1" s="204"/>
      <c r="H1" s="205"/>
      <c r="I1" s="133" t="s">
        <v>780</v>
      </c>
      <c r="J1" s="134" t="s">
        <v>780</v>
      </c>
      <c r="L1" s="135"/>
    </row>
    <row r="2" spans="1:17" customFormat="1" ht="46.7" customHeight="1" x14ac:dyDescent="0.25">
      <c r="A2" s="136"/>
      <c r="B2" s="137" t="str">
        <f>'Hide_me(drop_downs)'!I3</f>
        <v>as at 31 July 2019</v>
      </c>
      <c r="C2" s="137"/>
      <c r="D2" s="206"/>
      <c r="E2" s="207"/>
      <c r="F2" s="207"/>
      <c r="G2" s="207"/>
      <c r="H2" s="208"/>
      <c r="I2" s="139" t="s">
        <v>781</v>
      </c>
      <c r="J2" s="139" t="s">
        <v>782</v>
      </c>
      <c r="L2" s="140"/>
      <c r="M2" s="28" t="str">
        <f>'Hide_me(drop_downs)'!I5</f>
        <v>Variance (2018/19 v. 2017/18 restated)</v>
      </c>
      <c r="Q2" s="129"/>
    </row>
    <row r="3" spans="1:17" customFormat="1" ht="37.5" customHeight="1" x14ac:dyDescent="0.25">
      <c r="A3" s="209"/>
      <c r="B3" s="210"/>
      <c r="C3" s="210"/>
      <c r="D3" s="210"/>
      <c r="E3" s="210"/>
      <c r="F3" s="210"/>
      <c r="G3" s="211"/>
      <c r="H3" s="26" t="str">
        <f>'Hide_me(drop_downs)'!I1</f>
        <v>Year ended 31 July 2019</v>
      </c>
      <c r="I3" s="27" t="str">
        <f>'Hide_me(drop_downs)'!J1</f>
        <v>Year ended 31 July 2018</v>
      </c>
      <c r="J3" s="27" t="str">
        <f>'Hide_me(drop_downs)'!J1</f>
        <v>Year ended 31 July 2018</v>
      </c>
      <c r="K3" s="140"/>
      <c r="L3" s="140"/>
      <c r="M3" s="144" t="s">
        <v>783</v>
      </c>
      <c r="Q3" s="129"/>
    </row>
    <row r="4" spans="1:17" customFormat="1" ht="15.4" customHeight="1" x14ac:dyDescent="0.25">
      <c r="A4" s="212"/>
      <c r="B4" s="213"/>
      <c r="C4" s="213"/>
      <c r="D4" s="213"/>
      <c r="E4" s="213"/>
      <c r="F4" s="213"/>
      <c r="G4" s="214"/>
      <c r="H4" s="27" t="s">
        <v>784</v>
      </c>
      <c r="I4" s="27" t="s">
        <v>784</v>
      </c>
      <c r="J4" s="215" t="s">
        <v>784</v>
      </c>
      <c r="K4" s="135" t="s">
        <v>784</v>
      </c>
      <c r="L4" s="135" t="s">
        <v>785</v>
      </c>
      <c r="M4" s="149" t="s">
        <v>786</v>
      </c>
    </row>
    <row r="5" spans="1:17" customFormat="1" ht="12.75" customHeight="1" x14ac:dyDescent="0.25">
      <c r="A5" s="150">
        <v>1</v>
      </c>
      <c r="B5" s="151" t="s">
        <v>853</v>
      </c>
      <c r="C5" s="152"/>
      <c r="D5" s="152"/>
      <c r="E5" s="152"/>
      <c r="F5" s="152"/>
      <c r="G5" s="153"/>
      <c r="H5" s="154"/>
      <c r="I5" s="154"/>
      <c r="J5" s="154"/>
      <c r="K5" s="156" t="s">
        <v>193</v>
      </c>
      <c r="L5" s="156" t="s">
        <v>193</v>
      </c>
      <c r="M5" s="135" t="s">
        <v>788</v>
      </c>
    </row>
    <row r="6" spans="1:17" customFormat="1" ht="12.75" customHeight="1" x14ac:dyDescent="0.25">
      <c r="A6" s="150" t="s">
        <v>789</v>
      </c>
      <c r="B6" s="216"/>
      <c r="C6" s="217" t="s">
        <v>854</v>
      </c>
      <c r="D6" s="217"/>
      <c r="E6" s="218"/>
      <c r="F6" s="218"/>
      <c r="G6" s="219"/>
      <c r="H6" s="161">
        <v>0</v>
      </c>
      <c r="I6" s="161">
        <v>0</v>
      </c>
      <c r="J6" s="166">
        <v>0</v>
      </c>
      <c r="K6" s="164">
        <f t="shared" ref="K6:K15" si="0">H6-I6</f>
        <v>0</v>
      </c>
      <c r="L6" s="164" t="str">
        <f t="shared" ref="L6:L15" si="1">IF(AND(OR(H6=0,I6&lt;&gt;0),OR(I6=0,H6&lt;&gt;0)),IF((H6+I6+K6&lt;&gt;0),IF(AND(OR(H6&gt;0,I6&lt;0),OR(I6&gt;0,H6&lt;0)),ABS(K6/MIN(ABS(I6),ABS(H6))),10),"-"),10)</f>
        <v>-</v>
      </c>
      <c r="M6" s="167"/>
    </row>
    <row r="7" spans="1:17" customFormat="1" ht="12.75" customHeight="1" x14ac:dyDescent="0.25">
      <c r="A7" s="150" t="s">
        <v>791</v>
      </c>
      <c r="B7" s="216"/>
      <c r="C7" s="217" t="s">
        <v>855</v>
      </c>
      <c r="D7" s="217"/>
      <c r="E7" s="218"/>
      <c r="F7" s="218"/>
      <c r="G7" s="219"/>
      <c r="H7" s="161">
        <v>0</v>
      </c>
      <c r="I7" s="161">
        <v>0</v>
      </c>
      <c r="J7" s="166">
        <v>0</v>
      </c>
      <c r="K7" s="164">
        <f t="shared" si="0"/>
        <v>0</v>
      </c>
      <c r="L7" s="164" t="str">
        <f t="shared" si="1"/>
        <v>-</v>
      </c>
      <c r="M7" s="167"/>
    </row>
    <row r="8" spans="1:17" customFormat="1" ht="12.75" customHeight="1" x14ac:dyDescent="0.25">
      <c r="A8" s="150" t="s">
        <v>793</v>
      </c>
      <c r="B8" s="216"/>
      <c r="C8" s="217" t="s">
        <v>856</v>
      </c>
      <c r="D8" s="217"/>
      <c r="E8" s="218"/>
      <c r="F8" s="218"/>
      <c r="G8" s="219"/>
      <c r="H8" s="161">
        <v>0</v>
      </c>
      <c r="I8" s="161">
        <v>0</v>
      </c>
      <c r="J8" s="166">
        <v>0</v>
      </c>
      <c r="K8" s="164">
        <f t="shared" si="0"/>
        <v>0</v>
      </c>
      <c r="L8" s="164" t="str">
        <f t="shared" si="1"/>
        <v>-</v>
      </c>
      <c r="M8" s="167"/>
    </row>
    <row r="9" spans="1:17" customFormat="1" ht="12.75" customHeight="1" x14ac:dyDescent="0.25">
      <c r="A9" s="150" t="s">
        <v>795</v>
      </c>
      <c r="B9" s="220"/>
      <c r="C9" s="221" t="s">
        <v>857</v>
      </c>
      <c r="D9" s="222"/>
      <c r="E9" s="222"/>
      <c r="F9" s="222"/>
      <c r="G9" s="223"/>
      <c r="H9" s="172">
        <f>SUM(H7:H8)</f>
        <v>0</v>
      </c>
      <c r="I9" s="172">
        <f>SUM(I7:I8)</f>
        <v>0</v>
      </c>
      <c r="J9" s="224">
        <f>SUM(J7:J8)</f>
        <v>0</v>
      </c>
      <c r="K9" s="199">
        <f t="shared" si="0"/>
        <v>0</v>
      </c>
      <c r="L9" s="164" t="str">
        <f t="shared" si="1"/>
        <v>-</v>
      </c>
      <c r="M9" s="195"/>
    </row>
    <row r="10" spans="1:17" customFormat="1" ht="12.75" customHeight="1" x14ac:dyDescent="0.25">
      <c r="A10" s="225" t="s">
        <v>797</v>
      </c>
      <c r="B10" s="226"/>
      <c r="C10" s="217" t="s">
        <v>858</v>
      </c>
      <c r="D10" s="217"/>
      <c r="E10" s="218"/>
      <c r="F10" s="218"/>
      <c r="G10" s="219"/>
      <c r="H10" s="161">
        <v>1818506</v>
      </c>
      <c r="I10" s="161">
        <v>1741144</v>
      </c>
      <c r="J10" s="166">
        <v>1741144</v>
      </c>
      <c r="K10" s="164">
        <f t="shared" si="0"/>
        <v>77362</v>
      </c>
      <c r="L10" s="164">
        <f t="shared" si="1"/>
        <v>4.4431706969670519E-2</v>
      </c>
      <c r="M10" s="167"/>
    </row>
    <row r="11" spans="1:17" customFormat="1" ht="12.75" customHeight="1" x14ac:dyDescent="0.25">
      <c r="A11" s="150" t="s">
        <v>799</v>
      </c>
      <c r="B11" s="216"/>
      <c r="C11" s="217" t="s">
        <v>859</v>
      </c>
      <c r="D11" s="217"/>
      <c r="E11" s="218"/>
      <c r="F11" s="218"/>
      <c r="G11" s="219"/>
      <c r="H11" s="161">
        <v>213942</v>
      </c>
      <c r="I11" s="161">
        <v>212844</v>
      </c>
      <c r="J11" s="166">
        <v>212844</v>
      </c>
      <c r="K11" s="164">
        <f t="shared" si="0"/>
        <v>1098</v>
      </c>
      <c r="L11" s="164">
        <f t="shared" si="1"/>
        <v>5.1587077859841009E-3</v>
      </c>
      <c r="M11" s="167"/>
    </row>
    <row r="12" spans="1:17" customFormat="1" ht="12.75" customHeight="1" x14ac:dyDescent="0.25">
      <c r="A12" s="150" t="s">
        <v>801</v>
      </c>
      <c r="B12" s="216"/>
      <c r="C12" s="217" t="s">
        <v>860</v>
      </c>
      <c r="D12" s="217"/>
      <c r="E12" s="218"/>
      <c r="F12" s="218"/>
      <c r="G12" s="219"/>
      <c r="H12" s="161">
        <v>817616</v>
      </c>
      <c r="I12" s="161">
        <v>570854</v>
      </c>
      <c r="J12" s="166">
        <v>571024</v>
      </c>
      <c r="K12" s="164">
        <f t="shared" si="0"/>
        <v>246762</v>
      </c>
      <c r="L12" s="164">
        <f t="shared" si="1"/>
        <v>0.43226814562042132</v>
      </c>
      <c r="M12" s="167"/>
    </row>
    <row r="13" spans="1:17" customFormat="1" ht="12.75" customHeight="1" x14ac:dyDescent="0.25">
      <c r="A13" s="150" t="s">
        <v>861</v>
      </c>
      <c r="B13" s="216"/>
      <c r="C13" s="217" t="s">
        <v>862</v>
      </c>
      <c r="D13" s="217"/>
      <c r="E13" s="218"/>
      <c r="F13" s="218"/>
      <c r="G13" s="219"/>
      <c r="H13" s="161">
        <v>0</v>
      </c>
      <c r="I13" s="161">
        <v>0</v>
      </c>
      <c r="J13" s="166">
        <v>0</v>
      </c>
      <c r="K13" s="164">
        <f t="shared" si="0"/>
        <v>0</v>
      </c>
      <c r="L13" s="164" t="str">
        <f t="shared" si="1"/>
        <v>-</v>
      </c>
      <c r="M13" s="167"/>
    </row>
    <row r="14" spans="1:17" customFormat="1" ht="12.75" customHeight="1" x14ac:dyDescent="0.25">
      <c r="A14" s="150" t="s">
        <v>863</v>
      </c>
      <c r="B14" s="216"/>
      <c r="C14" s="217" t="s">
        <v>864</v>
      </c>
      <c r="D14" s="217"/>
      <c r="E14" s="218"/>
      <c r="F14" s="218"/>
      <c r="G14" s="219"/>
      <c r="H14" s="161">
        <v>0</v>
      </c>
      <c r="I14" s="161">
        <v>0</v>
      </c>
      <c r="J14" s="166">
        <v>0</v>
      </c>
      <c r="K14" s="164">
        <f t="shared" si="0"/>
        <v>0</v>
      </c>
      <c r="L14" s="164" t="str">
        <f t="shared" si="1"/>
        <v>-</v>
      </c>
      <c r="M14" s="167"/>
    </row>
    <row r="15" spans="1:17" customFormat="1" ht="12.75" customHeight="1" x14ac:dyDescent="0.25">
      <c r="A15" s="150" t="s">
        <v>865</v>
      </c>
      <c r="B15" s="169" t="s">
        <v>866</v>
      </c>
      <c r="C15" s="227"/>
      <c r="D15" s="227"/>
      <c r="E15" s="227"/>
      <c r="F15" s="227"/>
      <c r="G15" s="228"/>
      <c r="H15" s="172">
        <f>SUM(H6:H8)+SUM(H10:H14)</f>
        <v>2850064</v>
      </c>
      <c r="I15" s="172">
        <f>SUM(I6:I8)+SUM(I10:I14)</f>
        <v>2524842</v>
      </c>
      <c r="J15" s="224">
        <f>SUM(J6:J8)+SUM(J10:J14)</f>
        <v>2525012</v>
      </c>
      <c r="K15" s="164">
        <f t="shared" si="0"/>
        <v>325222</v>
      </c>
      <c r="L15" s="164">
        <f t="shared" si="1"/>
        <v>0.12880885219748403</v>
      </c>
      <c r="M15" s="195"/>
    </row>
    <row r="16" spans="1:17" customFormat="1" ht="12.75" customHeight="1" x14ac:dyDescent="0.25">
      <c r="A16" s="150"/>
      <c r="B16" s="191"/>
      <c r="C16" s="192"/>
      <c r="D16" s="192"/>
      <c r="E16" s="192"/>
      <c r="F16" s="192"/>
      <c r="G16" s="193"/>
      <c r="H16" s="177"/>
      <c r="I16" s="177"/>
      <c r="J16" s="177"/>
      <c r="K16" s="164"/>
      <c r="L16" s="164"/>
    </row>
    <row r="17" spans="1:13" customFormat="1" ht="12.75" customHeight="1" x14ac:dyDescent="0.25">
      <c r="A17" s="150">
        <v>2</v>
      </c>
      <c r="B17" s="151" t="s">
        <v>867</v>
      </c>
      <c r="C17" s="152"/>
      <c r="D17" s="152"/>
      <c r="E17" s="152"/>
      <c r="F17" s="152"/>
      <c r="G17" s="153"/>
      <c r="H17" s="178"/>
      <c r="I17" s="178"/>
      <c r="J17" s="178"/>
      <c r="K17" s="164"/>
      <c r="L17" s="164"/>
    </row>
    <row r="18" spans="1:13" customFormat="1" ht="12.75" customHeight="1" x14ac:dyDescent="0.25">
      <c r="A18" s="150" t="s">
        <v>804</v>
      </c>
      <c r="B18" s="157"/>
      <c r="C18" s="158" t="s">
        <v>868</v>
      </c>
      <c r="D18" s="159"/>
      <c r="E18" s="159"/>
      <c r="F18" s="159"/>
      <c r="G18" s="160"/>
      <c r="H18" s="161">
        <v>3220</v>
      </c>
      <c r="I18" s="161">
        <v>3579</v>
      </c>
      <c r="J18" s="166">
        <v>3579</v>
      </c>
      <c r="K18" s="164">
        <f t="shared" ref="K18:K24" si="2">H18-I18</f>
        <v>-359</v>
      </c>
      <c r="L18" s="164">
        <f t="shared" ref="L18:L24" si="3">IF(AND(OR(H18=0,I18&lt;&gt;0),OR(I18=0,H18&lt;&gt;0)),IF((H18+I18+K18&lt;&gt;0),IF(AND(OR(H18&gt;0,I18&lt;0),OR(I18&gt;0,H18&lt;0)),ABS(K18/MIN(ABS(I18),ABS(H18))),10),"-"),10)</f>
        <v>0.11149068322981366</v>
      </c>
      <c r="M18" s="167"/>
    </row>
    <row r="19" spans="1:13" customFormat="1" ht="12.75" customHeight="1" x14ac:dyDescent="0.25">
      <c r="A19" s="150" t="s">
        <v>806</v>
      </c>
      <c r="B19" s="157"/>
      <c r="C19" s="158" t="s">
        <v>869</v>
      </c>
      <c r="D19" s="159"/>
      <c r="E19" s="159"/>
      <c r="F19" s="159"/>
      <c r="G19" s="160"/>
      <c r="H19" s="161">
        <v>138727</v>
      </c>
      <c r="I19" s="161">
        <v>132626</v>
      </c>
      <c r="J19" s="166">
        <v>132791</v>
      </c>
      <c r="K19" s="164">
        <f t="shared" si="2"/>
        <v>6101</v>
      </c>
      <c r="L19" s="164">
        <f t="shared" si="3"/>
        <v>4.6001538159938474E-2</v>
      </c>
      <c r="M19" s="167"/>
    </row>
    <row r="20" spans="1:13" customFormat="1" ht="12.75" customHeight="1" x14ac:dyDescent="0.25">
      <c r="A20" s="150" t="s">
        <v>808</v>
      </c>
      <c r="B20" s="157"/>
      <c r="C20" s="158" t="s">
        <v>860</v>
      </c>
      <c r="D20" s="159"/>
      <c r="E20" s="159"/>
      <c r="F20" s="159"/>
      <c r="G20" s="160"/>
      <c r="H20" s="161">
        <v>207411</v>
      </c>
      <c r="I20" s="161">
        <v>180000</v>
      </c>
      <c r="J20" s="166">
        <v>180000</v>
      </c>
      <c r="K20" s="164">
        <f t="shared" si="2"/>
        <v>27411</v>
      </c>
      <c r="L20" s="164">
        <f t="shared" si="3"/>
        <v>0.15228333333333333</v>
      </c>
      <c r="M20" s="167"/>
    </row>
    <row r="21" spans="1:13" customFormat="1" ht="12.75" customHeight="1" x14ac:dyDescent="0.25">
      <c r="A21" s="150" t="s">
        <v>810</v>
      </c>
      <c r="B21" s="157"/>
      <c r="C21" s="158" t="s">
        <v>870</v>
      </c>
      <c r="D21" s="159"/>
      <c r="E21" s="159"/>
      <c r="F21" s="159"/>
      <c r="G21" s="160"/>
      <c r="H21" s="161">
        <v>238496</v>
      </c>
      <c r="I21" s="179">
        <v>236081</v>
      </c>
      <c r="J21" s="229">
        <v>236081</v>
      </c>
      <c r="K21" s="164">
        <f t="shared" si="2"/>
        <v>2415</v>
      </c>
      <c r="L21" s="164">
        <f t="shared" si="3"/>
        <v>1.0229539861318785E-2</v>
      </c>
      <c r="M21" s="168"/>
    </row>
    <row r="22" spans="1:13" customFormat="1" ht="12.75" customHeight="1" x14ac:dyDescent="0.25">
      <c r="A22" s="150" t="s">
        <v>812</v>
      </c>
      <c r="B22" s="157"/>
      <c r="C22" s="158" t="s">
        <v>871</v>
      </c>
      <c r="D22" s="159"/>
      <c r="E22" s="159"/>
      <c r="F22" s="159"/>
      <c r="G22" s="160"/>
      <c r="H22" s="161">
        <v>0</v>
      </c>
      <c r="I22" s="161">
        <v>0</v>
      </c>
      <c r="J22" s="166">
        <f>IF(Title_Page!C6="S",Table_3_Scotland!J14,0)</f>
        <v>0</v>
      </c>
      <c r="K22" s="164">
        <f t="shared" si="2"/>
        <v>0</v>
      </c>
      <c r="L22" s="164" t="str">
        <f t="shared" si="3"/>
        <v>-</v>
      </c>
      <c r="M22" s="167"/>
    </row>
    <row r="23" spans="1:13" customFormat="1" ht="12.75" customHeight="1" x14ac:dyDescent="0.25">
      <c r="A23" s="150" t="s">
        <v>814</v>
      </c>
      <c r="B23" s="157"/>
      <c r="C23" s="158" t="s">
        <v>872</v>
      </c>
      <c r="D23" s="159"/>
      <c r="E23" s="159"/>
      <c r="F23" s="159"/>
      <c r="G23" s="160"/>
      <c r="H23" s="161">
        <v>0</v>
      </c>
      <c r="I23" s="161">
        <v>0</v>
      </c>
      <c r="J23" s="166">
        <v>0</v>
      </c>
      <c r="K23" s="164">
        <f t="shared" si="2"/>
        <v>0</v>
      </c>
      <c r="L23" s="164" t="str">
        <f t="shared" si="3"/>
        <v>-</v>
      </c>
      <c r="M23" s="167"/>
    </row>
    <row r="24" spans="1:13" customFormat="1" ht="12.75" customHeight="1" x14ac:dyDescent="0.25">
      <c r="A24" s="150" t="s">
        <v>873</v>
      </c>
      <c r="B24" s="169" t="s">
        <v>874</v>
      </c>
      <c r="C24" s="227"/>
      <c r="D24" s="227"/>
      <c r="E24" s="227"/>
      <c r="F24" s="227"/>
      <c r="G24" s="228"/>
      <c r="H24" s="172">
        <f>SUM(H18:H23)</f>
        <v>587854</v>
      </c>
      <c r="I24" s="172">
        <f>SUM(I18:I23)</f>
        <v>552286</v>
      </c>
      <c r="J24" s="224">
        <f>SUM(J18:J23)</f>
        <v>552451</v>
      </c>
      <c r="K24" s="164">
        <f t="shared" si="2"/>
        <v>35568</v>
      </c>
      <c r="L24" s="164">
        <f t="shared" si="3"/>
        <v>6.4401415208786755E-2</v>
      </c>
      <c r="M24" s="195"/>
    </row>
    <row r="25" spans="1:13" customFormat="1" ht="12.75" customHeight="1" x14ac:dyDescent="0.25">
      <c r="A25" s="150"/>
      <c r="B25" s="174"/>
      <c r="C25" s="175"/>
      <c r="D25" s="175"/>
      <c r="E25" s="175"/>
      <c r="F25" s="175"/>
      <c r="G25" s="176"/>
      <c r="H25" s="177"/>
      <c r="I25" s="177"/>
      <c r="J25" s="177"/>
      <c r="K25" s="164"/>
      <c r="L25" s="164"/>
    </row>
    <row r="26" spans="1:13" customFormat="1" ht="12.75" customHeight="1" x14ac:dyDescent="0.25">
      <c r="A26" s="150">
        <v>3</v>
      </c>
      <c r="B26" s="151" t="s">
        <v>875</v>
      </c>
      <c r="C26" s="230"/>
      <c r="D26" s="230"/>
      <c r="E26" s="230"/>
      <c r="F26" s="230"/>
      <c r="G26" s="231"/>
      <c r="H26" s="178"/>
      <c r="I26" s="178"/>
      <c r="J26" s="178"/>
      <c r="K26" s="164"/>
      <c r="L26" s="164"/>
    </row>
    <row r="27" spans="1:13" customFormat="1" ht="12.75" customHeight="1" x14ac:dyDescent="0.25">
      <c r="A27" s="150" t="s">
        <v>876</v>
      </c>
      <c r="B27" s="157"/>
      <c r="C27" s="158" t="s">
        <v>877</v>
      </c>
      <c r="D27" s="158"/>
      <c r="E27" s="159"/>
      <c r="F27" s="159"/>
      <c r="G27" s="160"/>
      <c r="H27" s="179">
        <v>0</v>
      </c>
      <c r="I27" s="179">
        <v>0</v>
      </c>
      <c r="J27" s="229">
        <v>0</v>
      </c>
      <c r="K27" s="164">
        <f t="shared" ref="K27:K33" si="4">H27-I27</f>
        <v>0</v>
      </c>
      <c r="L27" s="164" t="str">
        <f t="shared" ref="L27:L33" si="5">IF(AND(OR(H27=0,I27&lt;&gt;0),OR(I27=0,H27&lt;&gt;0)),IF((H27+I27+K27&lt;&gt;0),IF(AND(OR(H27&gt;0,I27&lt;0),OR(I27&gt;0,H27&lt;0)),ABS(K27/MIN(ABS(I27),ABS(H27))),10),"-"),10)</f>
        <v>-</v>
      </c>
      <c r="M27" s="167"/>
    </row>
    <row r="28" spans="1:13" customFormat="1" ht="12.75" customHeight="1" x14ac:dyDescent="0.25">
      <c r="A28" s="150" t="s">
        <v>878</v>
      </c>
      <c r="B28" s="157"/>
      <c r="C28" s="158" t="s">
        <v>879</v>
      </c>
      <c r="D28" s="158"/>
      <c r="E28" s="159"/>
      <c r="F28" s="159"/>
      <c r="G28" s="160"/>
      <c r="H28" s="179">
        <v>2951</v>
      </c>
      <c r="I28" s="179">
        <v>3185</v>
      </c>
      <c r="J28" s="229">
        <v>3185</v>
      </c>
      <c r="K28" s="164">
        <f t="shared" si="4"/>
        <v>-234</v>
      </c>
      <c r="L28" s="164">
        <f t="shared" si="5"/>
        <v>7.9295154185022032E-2</v>
      </c>
      <c r="M28" s="167"/>
    </row>
    <row r="29" spans="1:13" customFormat="1" ht="12.75" customHeight="1" x14ac:dyDescent="0.25">
      <c r="A29" s="150" t="s">
        <v>880</v>
      </c>
      <c r="B29" s="157"/>
      <c r="C29" s="158" t="s">
        <v>881</v>
      </c>
      <c r="D29" s="158"/>
      <c r="E29" s="159"/>
      <c r="F29" s="159"/>
      <c r="G29" s="160"/>
      <c r="H29" s="179">
        <v>269</v>
      </c>
      <c r="I29" s="179">
        <v>244</v>
      </c>
      <c r="J29" s="229">
        <v>244</v>
      </c>
      <c r="K29" s="164">
        <f t="shared" si="4"/>
        <v>25</v>
      </c>
      <c r="L29" s="164">
        <f t="shared" si="5"/>
        <v>0.10245901639344263</v>
      </c>
      <c r="M29" s="167"/>
    </row>
    <row r="30" spans="1:13" customFormat="1" ht="12.75" customHeight="1" x14ac:dyDescent="0.25">
      <c r="A30" s="150" t="s">
        <v>882</v>
      </c>
      <c r="B30" s="157"/>
      <c r="C30" s="158" t="s">
        <v>883</v>
      </c>
      <c r="D30" s="158"/>
      <c r="E30" s="159"/>
      <c r="F30" s="159"/>
      <c r="G30" s="160"/>
      <c r="H30" s="179">
        <v>0</v>
      </c>
      <c r="I30" s="179">
        <v>0</v>
      </c>
      <c r="J30" s="229">
        <v>0</v>
      </c>
      <c r="K30" s="164">
        <f t="shared" si="4"/>
        <v>0</v>
      </c>
      <c r="L30" s="164" t="str">
        <f t="shared" si="5"/>
        <v>-</v>
      </c>
      <c r="M30" s="167"/>
    </row>
    <row r="31" spans="1:13" customFormat="1" ht="12.75" customHeight="1" x14ac:dyDescent="0.25">
      <c r="A31" s="150" t="s">
        <v>884</v>
      </c>
      <c r="B31" s="157"/>
      <c r="C31" s="158" t="s">
        <v>885</v>
      </c>
      <c r="D31" s="158"/>
      <c r="E31" s="159"/>
      <c r="F31" s="159"/>
      <c r="G31" s="160"/>
      <c r="H31" s="179">
        <v>1655</v>
      </c>
      <c r="I31" s="179">
        <v>742</v>
      </c>
      <c r="J31" s="229">
        <v>742</v>
      </c>
      <c r="K31" s="164">
        <f t="shared" si="4"/>
        <v>913</v>
      </c>
      <c r="L31" s="164">
        <f t="shared" si="5"/>
        <v>1.2304582210242587</v>
      </c>
      <c r="M31" s="167"/>
    </row>
    <row r="32" spans="1:13" customFormat="1" ht="12.75" customHeight="1" x14ac:dyDescent="0.25">
      <c r="A32" s="150" t="s">
        <v>886</v>
      </c>
      <c r="B32" s="232"/>
      <c r="C32" s="233" t="s">
        <v>887</v>
      </c>
      <c r="D32" s="233"/>
      <c r="E32" s="234"/>
      <c r="F32" s="234"/>
      <c r="G32" s="235"/>
      <c r="H32" s="179">
        <v>340454</v>
      </c>
      <c r="I32" s="179">
        <v>306449</v>
      </c>
      <c r="J32" s="229">
        <v>306765</v>
      </c>
      <c r="K32" s="164">
        <f t="shared" si="4"/>
        <v>34005</v>
      </c>
      <c r="L32" s="164">
        <f t="shared" si="5"/>
        <v>0.11096463033000598</v>
      </c>
      <c r="M32" s="167"/>
    </row>
    <row r="33" spans="1:13" customFormat="1" ht="12.75" customHeight="1" x14ac:dyDescent="0.25">
      <c r="A33" s="150" t="s">
        <v>888</v>
      </c>
      <c r="B33" s="183" t="s">
        <v>889</v>
      </c>
      <c r="C33" s="221"/>
      <c r="D33" s="221"/>
      <c r="E33" s="221"/>
      <c r="F33" s="221"/>
      <c r="G33" s="236"/>
      <c r="H33" s="172">
        <f>SUM(H27:H32)</f>
        <v>345329</v>
      </c>
      <c r="I33" s="172">
        <f>SUM(I27:I32)</f>
        <v>310620</v>
      </c>
      <c r="J33" s="224">
        <f>SUM(J27:J32)</f>
        <v>310936</v>
      </c>
      <c r="K33" s="164">
        <f t="shared" si="4"/>
        <v>34709</v>
      </c>
      <c r="L33" s="164">
        <f t="shared" si="5"/>
        <v>0.11174103406091043</v>
      </c>
      <c r="M33" s="195"/>
    </row>
    <row r="34" spans="1:13" customFormat="1" ht="12.75" customHeight="1" x14ac:dyDescent="0.25">
      <c r="A34" s="150"/>
      <c r="B34" s="174"/>
      <c r="C34" s="175"/>
      <c r="D34" s="175"/>
      <c r="E34" s="175"/>
      <c r="F34" s="175"/>
      <c r="G34" s="176"/>
      <c r="H34" s="177"/>
      <c r="I34" s="177"/>
      <c r="J34" s="177"/>
      <c r="K34" s="164"/>
      <c r="L34" s="164"/>
    </row>
    <row r="35" spans="1:13" customFormat="1" ht="12.75" customHeight="1" x14ac:dyDescent="0.25">
      <c r="A35" s="150">
        <v>4</v>
      </c>
      <c r="B35" s="181" t="s">
        <v>890</v>
      </c>
      <c r="C35" s="159"/>
      <c r="D35" s="159"/>
      <c r="E35" s="159"/>
      <c r="F35" s="159"/>
      <c r="G35" s="219"/>
      <c r="H35" s="179">
        <v>0</v>
      </c>
      <c r="I35" s="179">
        <v>0</v>
      </c>
      <c r="J35" s="229">
        <v>0</v>
      </c>
      <c r="K35" s="164">
        <f>H35-I35</f>
        <v>0</v>
      </c>
      <c r="L35" s="164" t="str">
        <f>IF(AND(OR(H35=0,I35&lt;&gt;0),OR(I35=0,H35&lt;&gt;0)),IF((H35+I35+K35&lt;&gt;0),IF(AND(OR(H35&gt;0,I35&lt;0),OR(I35&gt;0,H35&lt;0)),ABS(K35/MIN(ABS(I35),ABS(H35))),10),"-"),10)</f>
        <v>-</v>
      </c>
      <c r="M35" s="167"/>
    </row>
    <row r="36" spans="1:13" customFormat="1" ht="12.75" customHeight="1" x14ac:dyDescent="0.25">
      <c r="A36" s="150"/>
      <c r="B36" s="174"/>
      <c r="C36" s="175"/>
      <c r="D36" s="175"/>
      <c r="E36" s="175"/>
      <c r="F36" s="175"/>
      <c r="G36" s="176"/>
      <c r="H36" s="177"/>
      <c r="I36" s="177"/>
      <c r="J36" s="177"/>
      <c r="K36" s="164"/>
      <c r="L36" s="164"/>
    </row>
    <row r="37" spans="1:13" customFormat="1" ht="12.75" customHeight="1" x14ac:dyDescent="0.25">
      <c r="A37" s="150">
        <v>5</v>
      </c>
      <c r="B37" s="169" t="s">
        <v>891</v>
      </c>
      <c r="C37" s="227"/>
      <c r="D37" s="227"/>
      <c r="E37" s="227"/>
      <c r="F37" s="227"/>
      <c r="G37" s="228"/>
      <c r="H37" s="172">
        <f>(H24-H33+H35)</f>
        <v>242525</v>
      </c>
      <c r="I37" s="172">
        <f>(I24-I33+I35)</f>
        <v>241666</v>
      </c>
      <c r="J37" s="224">
        <f>(J24-J33+J35)</f>
        <v>241515</v>
      </c>
      <c r="K37" s="164">
        <f>H37-I37</f>
        <v>859</v>
      </c>
      <c r="L37" s="164">
        <f>IF(AND(OR(H37=0,I37&lt;&gt;0),OR(I37=0,H37&lt;&gt;0)),IF((H37+I37+K37&lt;&gt;0),IF(AND(OR(H37&gt;0,I37&lt;0),OR(I37&gt;0,H37&lt;0)),ABS(K37/MIN(ABS(I37),ABS(H37))),10),"-"),10)</f>
        <v>3.5544925641174184E-3</v>
      </c>
      <c r="M37" s="195"/>
    </row>
    <row r="38" spans="1:13" customFormat="1" ht="12.75" customHeight="1" x14ac:dyDescent="0.25">
      <c r="A38" s="150"/>
      <c r="B38" s="174"/>
      <c r="C38" s="175"/>
      <c r="D38" s="175"/>
      <c r="E38" s="175"/>
      <c r="F38" s="175"/>
      <c r="G38" s="176"/>
      <c r="H38" s="177"/>
      <c r="I38" s="177"/>
      <c r="J38" s="177"/>
      <c r="K38" s="164"/>
      <c r="L38" s="164"/>
    </row>
    <row r="39" spans="1:13" customFormat="1" ht="12.75" customHeight="1" x14ac:dyDescent="0.25">
      <c r="A39" s="150">
        <v>6</v>
      </c>
      <c r="B39" s="169" t="s">
        <v>892</v>
      </c>
      <c r="C39" s="227"/>
      <c r="D39" s="227"/>
      <c r="E39" s="227"/>
      <c r="F39" s="227"/>
      <c r="G39" s="228"/>
      <c r="H39" s="172">
        <f>H15+H37</f>
        <v>3092589</v>
      </c>
      <c r="I39" s="172">
        <f>I15+I37</f>
        <v>2766508</v>
      </c>
      <c r="J39" s="224">
        <f>J15+J37</f>
        <v>2766527</v>
      </c>
      <c r="K39" s="164">
        <f>H39-I39</f>
        <v>326081</v>
      </c>
      <c r="L39" s="164">
        <f>IF(AND(OR(H39=0,I39&lt;&gt;0),OR(I39=0,H39&lt;&gt;0)),IF((H39+I39+K39&lt;&gt;0),IF(AND(OR(H39&gt;0,I39&lt;0),OR(I39&gt;0,H39&lt;0)),ABS(K39/MIN(ABS(I39),ABS(H39))),10),"-"),10)</f>
        <v>0.11786736203184664</v>
      </c>
      <c r="M39" s="195"/>
    </row>
    <row r="40" spans="1:13" customFormat="1" ht="12.75" customHeight="1" x14ac:dyDescent="0.25">
      <c r="A40" s="150"/>
      <c r="B40" s="174"/>
      <c r="C40" s="175"/>
      <c r="D40" s="175"/>
      <c r="E40" s="175"/>
      <c r="F40" s="175"/>
      <c r="G40" s="176"/>
      <c r="H40" s="177"/>
      <c r="I40" s="177"/>
      <c r="J40" s="177"/>
      <c r="K40" s="164"/>
      <c r="L40" s="164"/>
    </row>
    <row r="41" spans="1:13" customFormat="1" ht="12.75" customHeight="1" x14ac:dyDescent="0.25">
      <c r="A41" s="150">
        <v>7</v>
      </c>
      <c r="B41" s="151" t="s">
        <v>893</v>
      </c>
      <c r="C41" s="230"/>
      <c r="D41" s="230"/>
      <c r="E41" s="230"/>
      <c r="F41" s="230"/>
      <c r="G41" s="231"/>
      <c r="H41" s="178"/>
      <c r="I41" s="178"/>
      <c r="J41" s="178"/>
      <c r="K41" s="164"/>
      <c r="L41" s="164"/>
    </row>
    <row r="42" spans="1:13" customFormat="1" ht="12.75" customHeight="1" x14ac:dyDescent="0.25">
      <c r="A42" s="150" t="s">
        <v>894</v>
      </c>
      <c r="B42" s="157"/>
      <c r="C42" s="158" t="s">
        <v>879</v>
      </c>
      <c r="D42" s="159"/>
      <c r="E42" s="159"/>
      <c r="F42" s="159"/>
      <c r="G42" s="160"/>
      <c r="H42" s="179">
        <v>591474</v>
      </c>
      <c r="I42" s="179">
        <v>380617</v>
      </c>
      <c r="J42" s="229">
        <v>380617</v>
      </c>
      <c r="K42" s="164">
        <f>H42-I42</f>
        <v>210857</v>
      </c>
      <c r="L42" s="164">
        <f>IF(AND(OR(H42=0,I42&lt;&gt;0),OR(I42=0,H42&lt;&gt;0)),IF((H42+I42+K42&lt;&gt;0),IF(AND(OR(H42&gt;0,I42&lt;0),OR(I42&gt;0,H42&lt;0)),ABS(K42/MIN(ABS(I42),ABS(H42))),10),"-"),10)</f>
        <v>0.55398734160586627</v>
      </c>
      <c r="M42" s="167"/>
    </row>
    <row r="43" spans="1:13" customFormat="1" ht="12.75" customHeight="1" x14ac:dyDescent="0.25">
      <c r="A43" s="150" t="s">
        <v>895</v>
      </c>
      <c r="B43" s="157"/>
      <c r="C43" s="158" t="s">
        <v>881</v>
      </c>
      <c r="D43" s="159"/>
      <c r="E43" s="159"/>
      <c r="F43" s="159"/>
      <c r="G43" s="160"/>
      <c r="H43" s="179">
        <v>774</v>
      </c>
      <c r="I43" s="179">
        <v>565</v>
      </c>
      <c r="J43" s="229">
        <v>565</v>
      </c>
      <c r="K43" s="164">
        <f>H43-I43</f>
        <v>209</v>
      </c>
      <c r="L43" s="164">
        <f>IF(AND(OR(H43=0,I43&lt;&gt;0),OR(I43=0,H43&lt;&gt;0)),IF((H43+I43+K43&lt;&gt;0),IF(AND(OR(H43&gt;0,I43&lt;0),OR(I43&gt;0,H43&lt;0)),ABS(K43/MIN(ABS(I43),ABS(H43))),10),"-"),10)</f>
        <v>0.36991150442477877</v>
      </c>
      <c r="M43" s="167"/>
    </row>
    <row r="44" spans="1:13" customFormat="1" ht="12.75" customHeight="1" x14ac:dyDescent="0.25">
      <c r="A44" s="150" t="s">
        <v>896</v>
      </c>
      <c r="B44" s="157"/>
      <c r="C44" s="158" t="s">
        <v>885</v>
      </c>
      <c r="D44" s="159"/>
      <c r="E44" s="159"/>
      <c r="F44" s="159"/>
      <c r="G44" s="160"/>
      <c r="H44" s="179">
        <v>12666</v>
      </c>
      <c r="I44" s="179">
        <v>4450</v>
      </c>
      <c r="J44" s="229">
        <v>4450</v>
      </c>
      <c r="K44" s="164">
        <f>H44-I44</f>
        <v>8216</v>
      </c>
      <c r="L44" s="164">
        <f>IF(AND(OR(H44=0,I44&lt;&gt;0),OR(I44=0,H44&lt;&gt;0)),IF((H44+I44+K44&lt;&gt;0),IF(AND(OR(H44&gt;0,I44&lt;0),OR(I44&gt;0,H44&lt;0)),ABS(K44/MIN(ABS(I44),ABS(H44))),10),"-"),10)</f>
        <v>1.8462921348314607</v>
      </c>
      <c r="M44" s="167"/>
    </row>
    <row r="45" spans="1:13" customFormat="1" ht="12.75" customHeight="1" x14ac:dyDescent="0.25">
      <c r="A45" s="150" t="s">
        <v>897</v>
      </c>
      <c r="B45" s="157"/>
      <c r="C45" s="158" t="s">
        <v>887</v>
      </c>
      <c r="D45" s="159"/>
      <c r="E45" s="159"/>
      <c r="F45" s="159"/>
      <c r="G45" s="160"/>
      <c r="H45" s="179">
        <v>100</v>
      </c>
      <c r="I45" s="179">
        <v>731</v>
      </c>
      <c r="J45" s="229">
        <v>731</v>
      </c>
      <c r="K45" s="164">
        <f>H45-I45</f>
        <v>-631</v>
      </c>
      <c r="L45" s="164">
        <f>IF(AND(OR(H45=0,I45&lt;&gt;0),OR(I45=0,H45&lt;&gt;0)),IF((H45+I45+K45&lt;&gt;0),IF(AND(OR(H45&gt;0,I45&lt;0),OR(I45&gt;0,H45&lt;0)),ABS(K45/MIN(ABS(I45),ABS(H45))),10),"-"),10)</f>
        <v>6.31</v>
      </c>
      <c r="M45" s="167"/>
    </row>
    <row r="46" spans="1:13" customFormat="1" ht="12.75" customHeight="1" x14ac:dyDescent="0.25">
      <c r="A46" s="150" t="s">
        <v>898</v>
      </c>
      <c r="B46" s="183" t="s">
        <v>899</v>
      </c>
      <c r="C46" s="221"/>
      <c r="D46" s="221"/>
      <c r="E46" s="221"/>
      <c r="F46" s="221"/>
      <c r="G46" s="236"/>
      <c r="H46" s="172">
        <f>SUM(H42:H45)</f>
        <v>605014</v>
      </c>
      <c r="I46" s="172">
        <f>SUM(I42:I45)</f>
        <v>386363</v>
      </c>
      <c r="J46" s="224">
        <f>SUM(J42:J45)</f>
        <v>386363</v>
      </c>
      <c r="K46" s="164">
        <f>H46-I46</f>
        <v>218651</v>
      </c>
      <c r="L46" s="164">
        <f>IF(AND(OR(H46=0,I46&lt;&gt;0),OR(I46=0,H46&lt;&gt;0)),IF((H46+I46+K46&lt;&gt;0),IF(AND(OR(H46&gt;0,I46&lt;0),OR(I46&gt;0,H46&lt;0)),ABS(K46/MIN(ABS(I46),ABS(H46))),10),"-"),10)</f>
        <v>0.56592116739956988</v>
      </c>
      <c r="M46" s="195"/>
    </row>
    <row r="47" spans="1:13" customFormat="1" ht="12.75" customHeight="1" x14ac:dyDescent="0.25">
      <c r="A47" s="150"/>
      <c r="B47" s="174"/>
      <c r="C47" s="175"/>
      <c r="D47" s="175"/>
      <c r="E47" s="175"/>
      <c r="F47" s="175"/>
      <c r="G47" s="176"/>
      <c r="H47" s="177"/>
      <c r="I47" s="177"/>
      <c r="J47" s="177"/>
      <c r="K47" s="164"/>
      <c r="L47" s="164"/>
    </row>
    <row r="48" spans="1:13" customFormat="1" ht="12.75" customHeight="1" x14ac:dyDescent="0.25">
      <c r="A48" s="150">
        <v>8</v>
      </c>
      <c r="B48" s="151" t="s">
        <v>900</v>
      </c>
      <c r="C48" s="152"/>
      <c r="D48" s="152"/>
      <c r="E48" s="152"/>
      <c r="F48" s="152"/>
      <c r="G48" s="153"/>
      <c r="H48" s="178"/>
      <c r="I48" s="178"/>
      <c r="J48" s="178"/>
      <c r="K48" s="164"/>
      <c r="L48" s="164"/>
    </row>
    <row r="49" spans="1:13" customFormat="1" ht="12.75" customHeight="1" x14ac:dyDescent="0.25">
      <c r="A49" s="150" t="s">
        <v>901</v>
      </c>
      <c r="B49" s="180"/>
      <c r="C49" s="158" t="s">
        <v>902</v>
      </c>
      <c r="D49" s="159"/>
      <c r="E49" s="159"/>
      <c r="F49" s="237"/>
      <c r="G49" s="219"/>
      <c r="H49" s="161">
        <v>432917</v>
      </c>
      <c r="I49" s="161">
        <v>163264</v>
      </c>
      <c r="J49" s="166">
        <v>163264</v>
      </c>
      <c r="K49" s="164">
        <f>H49-I49</f>
        <v>269653</v>
      </c>
      <c r="L49" s="164">
        <f>IF(AND(OR(H49=0,I49&lt;&gt;0),OR(I49=0,H49&lt;&gt;0)),IF((H49+I49+K49&lt;&gt;0),IF(AND(OR(H49&gt;0,I49&lt;0),OR(I49&gt;0,H49&lt;0)),ABS(K49/MIN(ABS(I49),ABS(H49))),10),"-"),10)</f>
        <v>1.6516378381027048</v>
      </c>
      <c r="M49" s="167"/>
    </row>
    <row r="50" spans="1:13" customFormat="1" ht="12.75" customHeight="1" x14ac:dyDescent="0.25">
      <c r="A50" s="150" t="s">
        <v>903</v>
      </c>
      <c r="B50" s="157"/>
      <c r="C50" s="158" t="s">
        <v>904</v>
      </c>
      <c r="D50" s="159"/>
      <c r="E50" s="159"/>
      <c r="F50" s="159"/>
      <c r="G50" s="160"/>
      <c r="H50" s="161">
        <v>0</v>
      </c>
      <c r="I50" s="161">
        <v>0</v>
      </c>
      <c r="J50" s="166">
        <v>0</v>
      </c>
      <c r="K50" s="164">
        <f>H50-I50</f>
        <v>0</v>
      </c>
      <c r="L50" s="164" t="str">
        <f>IF(AND(OR(H50=0,I50&lt;&gt;0),OR(I50=0,H50&lt;&gt;0)),IF((H50+I50+K50&lt;&gt;0),IF(AND(OR(H50&gt;0,I50&lt;0),OR(I50&gt;0,H50&lt;0)),ABS(K50/MIN(ABS(I50),ABS(H50))),10),"-"),10)</f>
        <v>-</v>
      </c>
      <c r="M50" s="167"/>
    </row>
    <row r="51" spans="1:13" customFormat="1" ht="12.75" customHeight="1" x14ac:dyDescent="0.25">
      <c r="A51" s="150" t="s">
        <v>905</v>
      </c>
      <c r="B51" s="169" t="s">
        <v>906</v>
      </c>
      <c r="C51" s="227"/>
      <c r="D51" s="227"/>
      <c r="E51" s="227"/>
      <c r="F51" s="227"/>
      <c r="G51" s="228"/>
      <c r="H51" s="172">
        <f>SUM(H49:H50)</f>
        <v>432917</v>
      </c>
      <c r="I51" s="172">
        <f>SUM(I49:I50)</f>
        <v>163264</v>
      </c>
      <c r="J51" s="224">
        <f>SUM(J49:J50)</f>
        <v>163264</v>
      </c>
      <c r="K51" s="164">
        <f>H51-I51</f>
        <v>269653</v>
      </c>
      <c r="L51" s="164">
        <f>IF(AND(OR(H51=0,I51&lt;&gt;0),OR(I51=0,H51&lt;&gt;0)),IF((H51+I51+K51&lt;&gt;0),IF(AND(OR(H51&gt;0,I51&lt;0),OR(I51&gt;0,H51&lt;0)),ABS(K51/MIN(ABS(I51),ABS(H51))),10),"-"),10)</f>
        <v>1.6516378381027048</v>
      </c>
      <c r="M51" s="195"/>
    </row>
    <row r="52" spans="1:13" customFormat="1" ht="12.75" customHeight="1" x14ac:dyDescent="0.25">
      <c r="A52" s="150"/>
      <c r="B52" s="174"/>
      <c r="C52" s="175"/>
      <c r="D52" s="175"/>
      <c r="E52" s="175"/>
      <c r="F52" s="175"/>
      <c r="G52" s="176"/>
      <c r="H52" s="177"/>
      <c r="I52" s="177"/>
      <c r="J52" s="177"/>
      <c r="K52" s="164"/>
      <c r="L52" s="164"/>
    </row>
    <row r="53" spans="1:13" customFormat="1" ht="12.75" customHeight="1" x14ac:dyDescent="0.25">
      <c r="A53" s="150">
        <v>9</v>
      </c>
      <c r="B53" s="169" t="s">
        <v>907</v>
      </c>
      <c r="C53" s="227"/>
      <c r="D53" s="227"/>
      <c r="E53" s="227"/>
      <c r="F53" s="227"/>
      <c r="G53" s="228"/>
      <c r="H53" s="172">
        <f>(H39-H46-H51)</f>
        <v>2054658</v>
      </c>
      <c r="I53" s="172">
        <f>(I39-I46-I51)</f>
        <v>2216881</v>
      </c>
      <c r="J53" s="224">
        <f>(J39-J46-J51)</f>
        <v>2216900</v>
      </c>
      <c r="K53" s="164">
        <f>H53-I53</f>
        <v>-162223</v>
      </c>
      <c r="L53" s="164">
        <f>IF(AND(OR(H53=0,I53&lt;&gt;0),OR(I53=0,H53&lt;&gt;0)),IF((H53+I53+K53&lt;&gt;0),IF(AND(OR(H53&gt;0,I53&lt;0),OR(I53&gt;0,H53&lt;0)),ABS(K53/MIN(ABS(I53),ABS(H53))),10),"-"),10)</f>
        <v>7.8953772355301946E-2</v>
      </c>
      <c r="M53" s="195"/>
    </row>
    <row r="54" spans="1:13" customFormat="1" ht="12.75" customHeight="1" x14ac:dyDescent="0.25">
      <c r="A54" s="150"/>
      <c r="B54" s="174"/>
      <c r="C54" s="175"/>
      <c r="D54" s="175"/>
      <c r="E54" s="175"/>
      <c r="F54" s="175"/>
      <c r="G54" s="176"/>
      <c r="H54" s="177"/>
      <c r="I54" s="177"/>
      <c r="J54" s="177"/>
      <c r="K54" s="164"/>
      <c r="L54" s="164"/>
    </row>
    <row r="55" spans="1:13" customFormat="1" ht="12.75" customHeight="1" x14ac:dyDescent="0.25">
      <c r="A55" s="150">
        <v>10</v>
      </c>
      <c r="B55" s="151" t="s">
        <v>908</v>
      </c>
      <c r="C55" s="152"/>
      <c r="D55" s="152"/>
      <c r="E55" s="152"/>
      <c r="F55" s="152"/>
      <c r="G55" s="153"/>
      <c r="H55" s="178"/>
      <c r="I55" s="178"/>
      <c r="J55" s="178"/>
      <c r="K55" s="164"/>
      <c r="L55" s="164"/>
    </row>
    <row r="56" spans="1:13" customFormat="1" ht="12.75" customHeight="1" x14ac:dyDescent="0.25">
      <c r="A56" s="150" t="s">
        <v>909</v>
      </c>
      <c r="B56" s="157"/>
      <c r="C56" s="158" t="s">
        <v>910</v>
      </c>
      <c r="D56" s="159"/>
      <c r="E56" s="159"/>
      <c r="F56" s="159"/>
      <c r="G56" s="160"/>
      <c r="H56" s="161">
        <v>459869</v>
      </c>
      <c r="I56" s="161">
        <v>424104</v>
      </c>
      <c r="J56" s="166">
        <v>424104</v>
      </c>
      <c r="K56" s="164">
        <f>H56-I56</f>
        <v>35765</v>
      </c>
      <c r="L56" s="164">
        <f>IF(AND(OR(H56=0,I56&lt;&gt;0),OR(I56=0,H56&lt;&gt;0)),IF((H56+I56+K56&lt;&gt;0),IF(AND(OR(H56&gt;0,I56&lt;0),OR(I56&gt;0,H56&lt;0)),ABS(K56/MIN(ABS(I56),ABS(H56))),10),"-"),10)</f>
        <v>8.4330730198253254E-2</v>
      </c>
      <c r="M56" s="167"/>
    </row>
    <row r="57" spans="1:13" customFormat="1" ht="12.75" customHeight="1" x14ac:dyDescent="0.25">
      <c r="A57" s="150" t="s">
        <v>911</v>
      </c>
      <c r="B57" s="157"/>
      <c r="C57" s="158" t="s">
        <v>912</v>
      </c>
      <c r="D57" s="159"/>
      <c r="E57" s="159"/>
      <c r="F57" s="159"/>
      <c r="G57" s="160"/>
      <c r="H57" s="161">
        <v>45470</v>
      </c>
      <c r="I57" s="161">
        <v>56804</v>
      </c>
      <c r="J57" s="166">
        <v>56903</v>
      </c>
      <c r="K57" s="164">
        <f>H57-I57</f>
        <v>-11334</v>
      </c>
      <c r="L57" s="164">
        <f>IF(AND(OR(H57=0,I57&lt;&gt;0),OR(I57=0,H57&lt;&gt;0)),IF((H57+I57+K57&lt;&gt;0),IF(AND(OR(H57&gt;0,I57&lt;0),OR(I57&gt;0,H57&lt;0)),ABS(K57/MIN(ABS(I57),ABS(H57))),10),"-"),10)</f>
        <v>0.24926325049483175</v>
      </c>
      <c r="M57" s="167"/>
    </row>
    <row r="58" spans="1:13" customFormat="1" ht="12.75" customHeight="1" x14ac:dyDescent="0.25">
      <c r="A58" s="150">
        <v>11</v>
      </c>
      <c r="B58" s="151" t="s">
        <v>913</v>
      </c>
      <c r="C58" s="152"/>
      <c r="D58" s="152"/>
      <c r="E58" s="152"/>
      <c r="F58" s="152"/>
      <c r="G58" s="153"/>
      <c r="H58" s="178"/>
      <c r="I58" s="178"/>
      <c r="J58" s="178"/>
      <c r="K58" s="164"/>
      <c r="L58" s="164"/>
    </row>
    <row r="59" spans="1:13" customFormat="1" ht="12.75" customHeight="1" x14ac:dyDescent="0.25">
      <c r="A59" s="150" t="s">
        <v>914</v>
      </c>
      <c r="B59" s="157"/>
      <c r="C59" s="158" t="s">
        <v>915</v>
      </c>
      <c r="D59" s="159"/>
      <c r="E59" s="159"/>
      <c r="F59" s="159"/>
      <c r="G59" s="160"/>
      <c r="H59" s="161">
        <v>1340734</v>
      </c>
      <c r="I59" s="161">
        <v>1528193</v>
      </c>
      <c r="J59" s="166">
        <v>1528113</v>
      </c>
      <c r="K59" s="164">
        <f>H59-I59</f>
        <v>-187459</v>
      </c>
      <c r="L59" s="164">
        <f>IF(AND(OR(H59=0,I59&lt;&gt;0),OR(I59=0,H59&lt;&gt;0)),IF((H59+I59+K59&lt;&gt;0),IF(AND(OR(H59&gt;0,I59&lt;0),OR(I59&gt;0,H59&lt;0)),ABS(K59/MIN(ABS(I59),ABS(H59))),10),"-"),10)</f>
        <v>0.13981818914117192</v>
      </c>
      <c r="M59" s="167"/>
    </row>
    <row r="60" spans="1:13" customFormat="1" ht="12.75" customHeight="1" x14ac:dyDescent="0.25">
      <c r="A60" s="150" t="s">
        <v>916</v>
      </c>
      <c r="B60" s="157"/>
      <c r="C60" s="158" t="s">
        <v>917</v>
      </c>
      <c r="D60" s="159"/>
      <c r="E60" s="159"/>
      <c r="F60" s="159"/>
      <c r="G60" s="160"/>
      <c r="H60" s="161">
        <v>208585</v>
      </c>
      <c r="I60" s="161">
        <v>207780</v>
      </c>
      <c r="J60" s="166">
        <v>207780</v>
      </c>
      <c r="K60" s="164">
        <f>H60-I60</f>
        <v>805</v>
      </c>
      <c r="L60" s="164">
        <f>IF(AND(OR(H60=0,I60&lt;&gt;0),OR(I60=0,H60&lt;&gt;0)),IF((H60+I60+K60&lt;&gt;0),IF(AND(OR(H60&gt;0,I60&lt;0),OR(I60&gt;0,H60&lt;0)),ABS(K60/MIN(ABS(I60),ABS(H60))),10),"-"),10)</f>
        <v>3.8742901145442294E-3</v>
      </c>
      <c r="M60" s="167"/>
    </row>
    <row r="61" spans="1:13" customFormat="1" ht="12.75" customHeight="1" x14ac:dyDescent="0.25">
      <c r="A61" s="150">
        <v>12</v>
      </c>
      <c r="B61" s="169" t="s">
        <v>918</v>
      </c>
      <c r="C61" s="227"/>
      <c r="D61" s="227"/>
      <c r="E61" s="227"/>
      <c r="F61" s="227"/>
      <c r="G61" s="228"/>
      <c r="H61" s="172">
        <f>SUM(H56:H60)</f>
        <v>2054658</v>
      </c>
      <c r="I61" s="172">
        <f>SUM(I56:I60)</f>
        <v>2216881</v>
      </c>
      <c r="J61" s="224">
        <f>SUM(J56:J60)</f>
        <v>2216900</v>
      </c>
      <c r="K61" s="164">
        <f>H61-I61</f>
        <v>-162223</v>
      </c>
      <c r="L61" s="164">
        <f>IF(AND(OR(H61=0,I61&lt;&gt;0),OR(I61=0,H61&lt;&gt;0)),IF((H61+I61+K61&lt;&gt;0),IF(AND(OR(H61&gt;0,I61&lt;0),OR(I61&gt;0,H61&lt;0)),ABS(K61/MIN(ABS(I61),ABS(H61))),10),"-"),10)</f>
        <v>7.8953772355301946E-2</v>
      </c>
      <c r="M61" s="195"/>
    </row>
    <row r="62" spans="1:13" customFormat="1" ht="12.75" customHeight="1" x14ac:dyDescent="0.25">
      <c r="A62" s="150"/>
      <c r="B62" s="181"/>
      <c r="C62" s="159"/>
      <c r="D62" s="159"/>
      <c r="E62" s="159"/>
      <c r="F62" s="2"/>
      <c r="G62" s="219"/>
      <c r="H62" s="182"/>
      <c r="I62" s="182"/>
      <c r="J62" s="182"/>
      <c r="K62" s="164"/>
      <c r="L62" s="164"/>
    </row>
    <row r="63" spans="1:13" customFormat="1" ht="12.75" customHeight="1" x14ac:dyDescent="0.25">
      <c r="A63" s="150">
        <v>13</v>
      </c>
      <c r="B63" s="174" t="s">
        <v>847</v>
      </c>
      <c r="C63" s="175"/>
      <c r="D63" s="175"/>
      <c r="E63" s="175"/>
      <c r="F63" s="175"/>
      <c r="G63" s="176"/>
      <c r="H63" s="161">
        <v>0</v>
      </c>
      <c r="I63" s="161">
        <v>0</v>
      </c>
      <c r="J63" s="166">
        <v>0</v>
      </c>
      <c r="K63" s="164">
        <f>H63-I63</f>
        <v>0</v>
      </c>
      <c r="L63" s="164" t="str">
        <f>IF(AND(OR(H63=0,I63&lt;&gt;0),OR(I63=0,H63&lt;&gt;0)),IF((H63+I63+K63&lt;&gt;0),IF(AND(OR(H63&gt;0,I63&lt;0),OR(I63&gt;0,H63&lt;0)),ABS(K63/MIN(ABS(I63),ABS(H63))),10),"-"),10)</f>
        <v>-</v>
      </c>
      <c r="M63" s="167"/>
    </row>
    <row r="64" spans="1:13" customFormat="1" ht="12.75" customHeight="1" x14ac:dyDescent="0.25">
      <c r="A64" s="150"/>
      <c r="B64" s="174"/>
      <c r="C64" s="175"/>
      <c r="D64" s="175"/>
      <c r="E64" s="175"/>
      <c r="F64" s="175"/>
      <c r="G64" s="176"/>
      <c r="H64" s="238"/>
      <c r="I64" s="177"/>
      <c r="J64" s="177"/>
      <c r="K64" s="164"/>
      <c r="L64" s="164"/>
    </row>
    <row r="65" spans="1:13" customFormat="1" ht="12.75" customHeight="1" x14ac:dyDescent="0.25">
      <c r="A65" s="150">
        <v>14</v>
      </c>
      <c r="B65" s="169" t="s">
        <v>919</v>
      </c>
      <c r="C65" s="227"/>
      <c r="D65" s="227"/>
      <c r="E65" s="227"/>
      <c r="F65" s="227"/>
      <c r="G65" s="228"/>
      <c r="H65" s="172">
        <f>(H61+H63)</f>
        <v>2054658</v>
      </c>
      <c r="I65" s="172">
        <f>(I61+I63)</f>
        <v>2216881</v>
      </c>
      <c r="J65" s="224">
        <f>(J61+J63)</f>
        <v>2216900</v>
      </c>
      <c r="K65" s="164">
        <f>H65-I65</f>
        <v>-162223</v>
      </c>
      <c r="L65" s="164">
        <f>IF(AND(OR(H65=0,I65&lt;&gt;0),OR(I65=0,H65&lt;&gt;0)),IF((H65+I65+K65&lt;&gt;0),IF(AND(OR(H65&gt;0,I65&lt;0),OR(I65&gt;0,H65&lt;0)),ABS(K65/MIN(ABS(I65),ABS(H65))),10),"-"),10)</f>
        <v>7.8953772355301946E-2</v>
      </c>
      <c r="M65" s="195"/>
    </row>
    <row r="66" spans="1:13" customFormat="1" ht="12.75" customHeight="1" x14ac:dyDescent="0.25"/>
    <row r="67" spans="1:13" customFormat="1" ht="12.75" customHeight="1" x14ac:dyDescent="0.25"/>
    <row r="68" spans="1:13" customFormat="1" ht="12.75" customHeight="1" x14ac:dyDescent="0.25"/>
    <row r="69" spans="1:13" customFormat="1" ht="12.75" customHeight="1" x14ac:dyDescent="0.25"/>
  </sheetData>
  <sheetProtection algorithmName="SHA-512" hashValue="GnpsXcfYqp2rlpyIqEScW6IfkgNNJVJOXMjyRnA0Cl6wBZS/VJLRXqkhY8uUPptjrkBAg4MGK1Y3wtemBQ+Sog==" saltValue="E40bBBVpG3I/DiodCQvKXQ==" spinCount="100000" sheet="1" objects="1" scenarios="1"/>
  <conditionalFormatting sqref="M18:M21">
    <cfRule type="expression" dxfId="165" priority="3">
      <formula>AND(OR((L18)&gt;2,(L18)&lt;-2),(L18)&lt;&gt;"-",OR((K18)&gt;750,(K18)&lt;-750))</formula>
    </cfRule>
  </conditionalFormatting>
  <conditionalFormatting sqref="M23">
    <cfRule type="expression" dxfId="164" priority="4">
      <formula>AND(OR((L18)&gt;2,(L18)&lt;-2),(L18)&lt;&gt;"-",OR((K18)&gt;750,(K18)&lt;-750))</formula>
    </cfRule>
  </conditionalFormatting>
  <conditionalFormatting sqref="M6:M8">
    <cfRule type="expression" dxfId="163" priority="5">
      <formula>AND(OR((L6)&gt;2,(L6)&lt;-2),(L6)&lt;&gt;"-",OR((K6)&gt;750,(K6)&lt;-750))</formula>
    </cfRule>
  </conditionalFormatting>
  <conditionalFormatting sqref="M10:M14">
    <cfRule type="expression" dxfId="162" priority="6">
      <formula>AND(OR((L10)&gt;2,(L10)&lt;-2),(L10)&lt;&gt;"-",OR((K10)&gt;750,(K10)&lt;-750))</formula>
    </cfRule>
  </conditionalFormatting>
  <conditionalFormatting sqref="M27:M29">
    <cfRule type="expression" dxfId="161" priority="7">
      <formula>AND(OR((L27)&gt;2,(L27)&lt;-2),(L27)&lt;&gt;"-",OR((K27)&gt;750,(K27)&lt;-750))</formula>
    </cfRule>
  </conditionalFormatting>
  <conditionalFormatting sqref="M31:M32">
    <cfRule type="expression" dxfId="160" priority="8">
      <formula>AND(OR((L27)&gt;2,(L27)&lt;-2),(L27)&lt;&gt;"-",OR((K27)&gt;750,(K27)&lt;-750))</formula>
    </cfRule>
  </conditionalFormatting>
  <conditionalFormatting sqref="M35">
    <cfRule type="expression" dxfId="159" priority="9">
      <formula>AND(OR((L35)&gt;2,(L35)&lt;-2),(L35)&lt;&gt;"-",OR((K35)&gt;750,(K35)&lt;-750))</formula>
    </cfRule>
  </conditionalFormatting>
  <conditionalFormatting sqref="M42:M45">
    <cfRule type="expression" dxfId="158" priority="10">
      <formula>AND(OR((L42)&gt;2,(L42)&lt;-2),(L42)&lt;&gt;"-",OR((K42)&gt;750,(K42)&lt;-750))</formula>
    </cfRule>
  </conditionalFormatting>
  <conditionalFormatting sqref="M49:M50">
    <cfRule type="expression" dxfId="157" priority="11">
      <formula>AND(OR((L49)&gt;2,(L49)&lt;-2),(L49)&lt;&gt;"-",OR((K49)&gt;750,(K49)&lt;-750))</formula>
    </cfRule>
  </conditionalFormatting>
  <conditionalFormatting sqref="M56:M57">
    <cfRule type="expression" dxfId="156" priority="12">
      <formula>AND(OR((L56)&gt;2,(L56)&lt;-2),(L56)&lt;&gt;"-",OR((K56)&gt;750,(K56)&lt;-750))</formula>
    </cfRule>
  </conditionalFormatting>
  <conditionalFormatting sqref="M59:M60">
    <cfRule type="expression" dxfId="155" priority="13">
      <formula>AND(OR((L59)&gt;2,(L59)&lt;-2),(L59)&lt;&gt;"-",OR((K59)&gt;750,(K59)&lt;-750))</formula>
    </cfRule>
  </conditionalFormatting>
  <conditionalFormatting sqref="M63">
    <cfRule type="expression" dxfId="154" priority="14">
      <formula>AND(OR((L63)&gt;2,(L63)&lt;-2),(L63)&lt;&gt;"-",OR((K63)&gt;750,(K63)&lt;-750))</formula>
    </cfRule>
  </conditionalFormatting>
  <conditionalFormatting sqref="I6">
    <cfRule type="expression" dxfId="153" priority="15">
      <formula>I6&lt;&gt;J6</formula>
    </cfRule>
  </conditionalFormatting>
  <conditionalFormatting sqref="I7">
    <cfRule type="expression" dxfId="152" priority="16">
      <formula>I7&lt;&gt;J7</formula>
    </cfRule>
  </conditionalFormatting>
  <conditionalFormatting sqref="I8">
    <cfRule type="expression" dxfId="151" priority="17">
      <formula>I8&lt;&gt;J8</formula>
    </cfRule>
  </conditionalFormatting>
  <conditionalFormatting sqref="I10">
    <cfRule type="expression" dxfId="150" priority="18">
      <formula>I10&lt;&gt;J10</formula>
    </cfRule>
  </conditionalFormatting>
  <conditionalFormatting sqref="I11">
    <cfRule type="expression" dxfId="149" priority="19">
      <formula>I11&lt;&gt;J11</formula>
    </cfRule>
  </conditionalFormatting>
  <conditionalFormatting sqref="I12">
    <cfRule type="expression" dxfId="148" priority="20">
      <formula>I12&lt;&gt;J12</formula>
    </cfRule>
  </conditionalFormatting>
  <conditionalFormatting sqref="I13">
    <cfRule type="expression" dxfId="147" priority="21">
      <formula>I13&lt;&gt;J13</formula>
    </cfRule>
  </conditionalFormatting>
  <conditionalFormatting sqref="I14">
    <cfRule type="expression" dxfId="146" priority="22">
      <formula>I14&lt;&gt;J14</formula>
    </cfRule>
  </conditionalFormatting>
  <conditionalFormatting sqref="I18">
    <cfRule type="expression" dxfId="145" priority="23">
      <formula>I18&lt;&gt;J18</formula>
    </cfRule>
  </conditionalFormatting>
  <conditionalFormatting sqref="I19">
    <cfRule type="expression" dxfId="144" priority="24">
      <formula>I19&lt;&gt;J19</formula>
    </cfRule>
  </conditionalFormatting>
  <conditionalFormatting sqref="I20">
    <cfRule type="expression" dxfId="143" priority="25">
      <formula>I20&lt;&gt;J20</formula>
    </cfRule>
  </conditionalFormatting>
  <conditionalFormatting sqref="I21">
    <cfRule type="expression" dxfId="142" priority="26">
      <formula>I21&lt;&gt;J21</formula>
    </cfRule>
  </conditionalFormatting>
  <conditionalFormatting sqref="I23">
    <cfRule type="expression" dxfId="141" priority="27">
      <formula>I23&lt;&gt;J23</formula>
    </cfRule>
  </conditionalFormatting>
  <conditionalFormatting sqref="I27">
    <cfRule type="expression" dxfId="140" priority="28">
      <formula>I27&lt;&gt;J27</formula>
    </cfRule>
  </conditionalFormatting>
  <conditionalFormatting sqref="I28">
    <cfRule type="expression" dxfId="139" priority="29">
      <formula>I28&lt;&gt;J28</formula>
    </cfRule>
  </conditionalFormatting>
  <conditionalFormatting sqref="I29">
    <cfRule type="expression" dxfId="138" priority="30">
      <formula>I29&lt;&gt;J29</formula>
    </cfRule>
  </conditionalFormatting>
  <conditionalFormatting sqref="I31">
    <cfRule type="expression" dxfId="137" priority="31">
      <formula>I31&lt;&gt;J31</formula>
    </cfRule>
  </conditionalFormatting>
  <conditionalFormatting sqref="I32">
    <cfRule type="expression" dxfId="136" priority="32">
      <formula>I32&lt;&gt;J32</formula>
    </cfRule>
  </conditionalFormatting>
  <conditionalFormatting sqref="I35">
    <cfRule type="expression" dxfId="135" priority="33">
      <formula>I35&lt;&gt;J35</formula>
    </cfRule>
  </conditionalFormatting>
  <conditionalFormatting sqref="I42">
    <cfRule type="expression" dxfId="134" priority="34">
      <formula>I42&lt;&gt;J42</formula>
    </cfRule>
  </conditionalFormatting>
  <conditionalFormatting sqref="I43">
    <cfRule type="expression" dxfId="133" priority="35">
      <formula>I43&lt;&gt;J43</formula>
    </cfRule>
  </conditionalFormatting>
  <conditionalFormatting sqref="I44">
    <cfRule type="expression" dxfId="132" priority="36">
      <formula>I44&lt;&gt;J44</formula>
    </cfRule>
  </conditionalFormatting>
  <conditionalFormatting sqref="I45">
    <cfRule type="expression" dxfId="131" priority="37">
      <formula>I45&lt;&gt;J45</formula>
    </cfRule>
  </conditionalFormatting>
  <conditionalFormatting sqref="I49">
    <cfRule type="expression" dxfId="130" priority="38">
      <formula>I49&lt;&gt;J49</formula>
    </cfRule>
  </conditionalFormatting>
  <conditionalFormatting sqref="I50">
    <cfRule type="expression" dxfId="129" priority="39">
      <formula>I50&lt;&gt;J50</formula>
    </cfRule>
  </conditionalFormatting>
  <conditionalFormatting sqref="I56">
    <cfRule type="expression" dxfId="128" priority="40">
      <formula>I56&lt;&gt;J56</formula>
    </cfRule>
  </conditionalFormatting>
  <conditionalFormatting sqref="I60">
    <cfRule type="expression" dxfId="127" priority="43">
      <formula>I60&lt;&gt;J60</formula>
    </cfRule>
  </conditionalFormatting>
  <conditionalFormatting sqref="I63">
    <cfRule type="expression" dxfId="126" priority="44">
      <formula>I63&lt;&gt;J63</formula>
    </cfRule>
  </conditionalFormatting>
  <conditionalFormatting sqref="M22">
    <cfRule type="expression" dxfId="125" priority="45">
      <formula>AND(OR((L22)&gt;2,(L22)&lt;-2),(L22)&lt;&gt;"-",OR((K22)&gt;750,(K22)&lt;-750))</formula>
    </cfRule>
  </conditionalFormatting>
  <conditionalFormatting sqref="I22">
    <cfRule type="expression" dxfId="124" priority="46">
      <formula>I22&lt;&gt;J22</formula>
    </cfRule>
  </conditionalFormatting>
  <conditionalFormatting sqref="M30">
    <cfRule type="expression" dxfId="123" priority="47">
      <formula>AND(OR((L30)&gt;2,(L30)&lt;-2),(L30)&lt;&gt;"-",OR((K30)&gt;750,(K30)&lt;-750))</formula>
    </cfRule>
  </conditionalFormatting>
  <conditionalFormatting sqref="I30">
    <cfRule type="expression" dxfId="122" priority="48">
      <formula>I30&lt;&gt;J30</formula>
    </cfRule>
  </conditionalFormatting>
  <conditionalFormatting sqref="I57">
    <cfRule type="expression" dxfId="121" priority="2">
      <formula>I57&lt;&gt;J57</formula>
    </cfRule>
  </conditionalFormatting>
  <conditionalFormatting sqref="I59">
    <cfRule type="expression" dxfId="120" priority="1">
      <formula>I59&lt;&gt;J59</formula>
    </cfRule>
  </conditionalFormatting>
  <dataValidations count="13">
    <dataValidation type="whole" operator="greaterThan" allowBlank="1" showInputMessage="1" showErrorMessage="1" promptTitle="Liabilities" prompt="should be entered as a negative" sqref="H35:J35">
      <formula1>-999999999</formula1>
    </dataValidation>
    <dataValidation type="whole" operator="greaterThan" allowBlank="1" showInputMessage="1" showErrorMessage="1" promptTitle="If a value is entered here…" prompt="it must be a negative value." sqref="J8">
      <formula1>-999999999</formula1>
    </dataValidation>
    <dataValidation type="whole" operator="greaterThan" allowBlank="1" showInputMessage="1" showErrorMessage="1" errorTitle="Whole numbers only allowed" error="All monies should be independently rounded to the nearest £1,000." sqref="H6:J7">
      <formula1>-99999999</formula1>
    </dataValidation>
    <dataValidation type="whole" operator="greaterThan" allowBlank="1" showInputMessage="1" showErrorMessage="1" errorTitle="Whole numbers only allowed" error="All monies should be independently rounded to the nearest £1,000." sqref="H18:J23">
      <formula1>-99999999</formula1>
    </dataValidation>
    <dataValidation type="whole" operator="greaterThan" allowBlank="1" showInputMessage="1" showErrorMessage="1" errorTitle="Whole numbers only allowed" error="All monies should be independently rounded to the nearest £1,000." sqref="H42:J45">
      <formula1>-99999999</formula1>
    </dataValidation>
    <dataValidation type="whole" operator="greaterThan" allowBlank="1" showInputMessage="1" showErrorMessage="1" errorTitle="Whole numbers only allowed" error="All monies should be independently rounded to the nearest £1,000." sqref="H63:I63">
      <formula1>-99999999</formula1>
    </dataValidation>
    <dataValidation type="whole" operator="greaterThan" allowBlank="1" showInputMessage="1" showErrorMessage="1" errorTitle="Whole numbers only allowed" error="All monies should be independently rounded to the nearest £1,000." sqref="H10:J14">
      <formula1>-99999999</formula1>
    </dataValidation>
    <dataValidation type="whole" operator="greaterThan" allowBlank="1" showInputMessage="1" showErrorMessage="1" errorTitle="Whole numbers only allowed" error="All monies should be independently rounded to the nearest £1,000." sqref="H49:J50">
      <formula1>-99999999</formula1>
    </dataValidation>
    <dataValidation type="whole" operator="greaterThan" allowBlank="1" showInputMessage="1" showErrorMessage="1" errorTitle="Whole numbers only allowed" error="All monies should be independently rounded to the nearest £1,000." sqref="H59:J60">
      <formula1>-99999999</formula1>
    </dataValidation>
    <dataValidation type="whole" operator="greaterThan" allowBlank="1" showInputMessage="1" showErrorMessage="1" errorTitle="Whole numbers only allowed" error="All monies should be independently rounded to the nearest £1,000." sqref="H56:J57">
      <formula1>-99999999</formula1>
    </dataValidation>
    <dataValidation type="whole" operator="greaterThan" allowBlank="1" showInputMessage="1" showErrorMessage="1" errorTitle="Whole numbers only allowed" error="All monies should be independently rounded to the nearest £1,000." sqref="H27:J32">
      <formula1>-99999999</formula1>
    </dataValidation>
    <dataValidation type="whole" allowBlank="1" showInputMessage="1" showErrorMessage="1" promptTitle="If a value is entered here…" prompt="it must be a negative value." sqref="H8">
      <formula1>-999999999</formula1>
      <formula2>0</formula2>
    </dataValidation>
    <dataValidation type="whole" allowBlank="1" showInputMessage="1" showErrorMessage="1" promptTitle="If a value is entered here…" prompt="it must be a negative value." sqref="I8">
      <formula1>-9999999999</formula1>
      <formula2>0</formula2>
    </dataValidation>
  </dataValidations>
  <printOptions headings="1" gridLines="1"/>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M49:M50 M56:M57 M35 M10:M14 M42:M45 M22:M23 M63 M59:M60 M6:M8 M18:M20 M27:M32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0"/>
  <sheetViews>
    <sheetView zoomScaleNormal="100" workbookViewId="0">
      <selection activeCell="H19" sqref="H19"/>
    </sheetView>
  </sheetViews>
  <sheetFormatPr defaultColWidth="9.85546875" defaultRowHeight="15" x14ac:dyDescent="0.25"/>
  <cols>
    <col min="1" max="1" width="12" style="3" bestFit="1" customWidth="1"/>
    <col min="2" max="2" width="3.140625" style="3" customWidth="1"/>
    <col min="3" max="3" width="68.42578125" style="3" bestFit="1" customWidth="1"/>
    <col min="4" max="4" width="3" style="3" hidden="1" customWidth="1"/>
    <col min="5" max="5" width="2.7109375" style="3" hidden="1" customWidth="1"/>
    <col min="6" max="6" width="2.140625" style="3" hidden="1" customWidth="1"/>
    <col min="7" max="7" width="2.28515625" style="3" hidden="1" customWidth="1"/>
    <col min="8" max="8" width="15.7109375" style="3" customWidth="1"/>
    <col min="9" max="9" width="17.140625" style="3" customWidth="1"/>
    <col min="10" max="10" width="15.7109375" style="3" hidden="1" customWidth="1"/>
    <col min="11" max="12" width="14.42578125" style="3" hidden="1" customWidth="1"/>
    <col min="13" max="13" width="70.5703125" style="3" customWidth="1"/>
  </cols>
  <sheetData>
    <row r="1" spans="1:13" ht="45.4" customHeight="1" x14ac:dyDescent="0.25">
      <c r="A1" s="239" t="s">
        <v>920</v>
      </c>
      <c r="B1" s="240" t="s">
        <v>921</v>
      </c>
      <c r="C1" s="241"/>
      <c r="D1" s="241"/>
      <c r="E1" s="241"/>
      <c r="F1" s="241"/>
      <c r="G1" s="241"/>
      <c r="H1" s="242"/>
      <c r="I1" s="133" t="s">
        <v>780</v>
      </c>
      <c r="J1" s="134" t="s">
        <v>780</v>
      </c>
      <c r="K1" s="129"/>
      <c r="L1" s="135"/>
      <c r="M1" s="129"/>
    </row>
    <row r="2" spans="1:13" ht="48" customHeight="1" x14ac:dyDescent="0.25">
      <c r="A2" s="243"/>
      <c r="B2" s="244"/>
      <c r="C2" s="244"/>
      <c r="D2" s="244"/>
      <c r="E2" s="244"/>
      <c r="F2" s="244"/>
      <c r="G2" s="244"/>
      <c r="H2" s="245"/>
      <c r="I2" s="139" t="s">
        <v>781</v>
      </c>
      <c r="J2" s="139" t="s">
        <v>782</v>
      </c>
      <c r="K2" s="129"/>
      <c r="L2" s="135"/>
      <c r="M2" s="28" t="str">
        <f>'Hide_me(drop_downs)'!I5</f>
        <v>Variance (2018/19 v. 2017/18 restated)</v>
      </c>
    </row>
    <row r="3" spans="1:13" ht="34.35" customHeight="1" x14ac:dyDescent="0.25">
      <c r="A3" s="243"/>
      <c r="B3" s="244"/>
      <c r="C3" s="244"/>
      <c r="D3" s="244"/>
      <c r="E3" s="244"/>
      <c r="F3" s="244"/>
      <c r="G3" s="246"/>
      <c r="H3" s="215" t="str">
        <f>'Hide_me(drop_downs)'!I1</f>
        <v>Year ended 31 July 2019</v>
      </c>
      <c r="I3" s="215" t="str">
        <f>'Hide_me(drop_downs)'!J1</f>
        <v>Year ended 31 July 2018</v>
      </c>
      <c r="J3" s="215" t="str">
        <f>'Hide_me(drop_downs)'!J1</f>
        <v>Year ended 31 July 2018</v>
      </c>
      <c r="K3" s="129"/>
      <c r="L3" s="140"/>
      <c r="M3" s="144" t="s">
        <v>783</v>
      </c>
    </row>
    <row r="4" spans="1:13" ht="15.4" customHeight="1" x14ac:dyDescent="0.25">
      <c r="A4" s="243"/>
      <c r="B4" s="244"/>
      <c r="C4" s="244"/>
      <c r="D4" s="244"/>
      <c r="E4" s="244"/>
      <c r="F4" s="244"/>
      <c r="G4" s="246"/>
      <c r="H4" s="215" t="s">
        <v>784</v>
      </c>
      <c r="I4" s="215" t="s">
        <v>784</v>
      </c>
      <c r="J4" s="215" t="s">
        <v>784</v>
      </c>
      <c r="K4" s="129"/>
      <c r="L4" s="140"/>
      <c r="M4" s="149" t="s">
        <v>786</v>
      </c>
    </row>
    <row r="5" spans="1:13" ht="30" customHeight="1" x14ac:dyDescent="0.25">
      <c r="A5" s="247"/>
      <c r="B5" s="151" t="s">
        <v>867</v>
      </c>
      <c r="C5" s="152"/>
      <c r="D5" s="152"/>
      <c r="E5" s="152"/>
      <c r="F5" s="152"/>
      <c r="G5" s="153"/>
      <c r="H5" s="154"/>
      <c r="I5" s="154"/>
      <c r="J5" s="154"/>
      <c r="K5" s="135" t="s">
        <v>784</v>
      </c>
      <c r="L5" s="135" t="s">
        <v>785</v>
      </c>
      <c r="M5" s="135" t="s">
        <v>788</v>
      </c>
    </row>
    <row r="6" spans="1:13" ht="12.75" customHeight="1" x14ac:dyDescent="0.25">
      <c r="A6" s="247">
        <v>1</v>
      </c>
      <c r="B6" s="248" t="s">
        <v>860</v>
      </c>
      <c r="C6" s="249"/>
      <c r="D6" s="249"/>
      <c r="E6" s="249"/>
      <c r="F6" s="249"/>
      <c r="G6" s="250"/>
      <c r="H6" s="182"/>
      <c r="I6" s="182"/>
      <c r="J6" s="182"/>
      <c r="K6" s="156" t="s">
        <v>193</v>
      </c>
      <c r="L6" s="156" t="s">
        <v>193</v>
      </c>
      <c r="M6"/>
    </row>
    <row r="7" spans="1:13" ht="12.75" customHeight="1" x14ac:dyDescent="0.25">
      <c r="A7" s="150" t="s">
        <v>789</v>
      </c>
      <c r="B7" s="251"/>
      <c r="C7" s="252" t="s">
        <v>922</v>
      </c>
      <c r="D7" s="249"/>
      <c r="E7" s="249"/>
      <c r="F7" s="249"/>
      <c r="G7" s="253"/>
      <c r="H7" s="179">
        <v>0</v>
      </c>
      <c r="I7" s="179">
        <v>0</v>
      </c>
      <c r="J7" s="229">
        <v>0</v>
      </c>
      <c r="K7" s="164">
        <f t="shared" ref="K7:K12" si="0">H7-I7</f>
        <v>0</v>
      </c>
      <c r="L7" s="164" t="str">
        <f t="shared" ref="L7:L12" si="1">IF(AND(OR(H7=0,I7&lt;&gt;0),OR(I7=0,H7&lt;&gt;0)),IF((H7+I7+K7&lt;&gt;0),IF(AND(OR(H7&gt;0,I7&lt;0),OR(I7&gt;0,H7&lt;0)),ABS(K7/MIN(ABS(I7),ABS(H7))),10),"-"),10)</f>
        <v>-</v>
      </c>
      <c r="M7" s="167"/>
    </row>
    <row r="8" spans="1:13" ht="12.75" customHeight="1" x14ac:dyDescent="0.25">
      <c r="A8" s="150" t="s">
        <v>791</v>
      </c>
      <c r="B8" s="251"/>
      <c r="C8" s="252" t="s">
        <v>923</v>
      </c>
      <c r="D8" s="249"/>
      <c r="E8" s="249"/>
      <c r="F8" s="249"/>
      <c r="G8" s="253"/>
      <c r="H8" s="179">
        <v>0</v>
      </c>
      <c r="I8" s="179">
        <v>0</v>
      </c>
      <c r="J8" s="229">
        <v>0</v>
      </c>
      <c r="K8" s="164">
        <f t="shared" si="0"/>
        <v>0</v>
      </c>
      <c r="L8" s="164" t="str">
        <f t="shared" si="1"/>
        <v>-</v>
      </c>
      <c r="M8" s="167"/>
    </row>
    <row r="9" spans="1:13" ht="12.75" customHeight="1" x14ac:dyDescent="0.25">
      <c r="A9" s="150" t="s">
        <v>793</v>
      </c>
      <c r="B9" s="251"/>
      <c r="C9" s="252" t="s">
        <v>924</v>
      </c>
      <c r="D9" s="249"/>
      <c r="E9" s="249"/>
      <c r="F9" s="249"/>
      <c r="G9" s="253"/>
      <c r="H9" s="179">
        <v>0</v>
      </c>
      <c r="I9" s="179">
        <v>0</v>
      </c>
      <c r="J9" s="229">
        <v>0</v>
      </c>
      <c r="K9" s="164">
        <f t="shared" si="0"/>
        <v>0</v>
      </c>
      <c r="L9" s="164" t="str">
        <f t="shared" si="1"/>
        <v>-</v>
      </c>
      <c r="M9" s="167"/>
    </row>
    <row r="10" spans="1:13" ht="12.75" customHeight="1" x14ac:dyDescent="0.25">
      <c r="A10" s="150" t="s">
        <v>795</v>
      </c>
      <c r="B10" s="251"/>
      <c r="C10" s="252" t="s">
        <v>925</v>
      </c>
      <c r="D10" s="249"/>
      <c r="E10" s="249"/>
      <c r="F10" s="249"/>
      <c r="G10" s="253"/>
      <c r="H10" s="179">
        <v>147296</v>
      </c>
      <c r="I10" s="179">
        <v>140833</v>
      </c>
      <c r="J10" s="229">
        <v>140833</v>
      </c>
      <c r="K10" s="164">
        <f t="shared" si="0"/>
        <v>6463</v>
      </c>
      <c r="L10" s="164">
        <f t="shared" si="1"/>
        <v>4.5891232878657699E-2</v>
      </c>
      <c r="M10" s="167"/>
    </row>
    <row r="11" spans="1:13" ht="12.75" customHeight="1" x14ac:dyDescent="0.25">
      <c r="A11" s="150" t="s">
        <v>797</v>
      </c>
      <c r="B11" s="251"/>
      <c r="C11" s="252" t="s">
        <v>926</v>
      </c>
      <c r="D11" s="249"/>
      <c r="E11" s="249"/>
      <c r="F11" s="249"/>
      <c r="G11" s="253"/>
      <c r="H11" s="179">
        <v>60115</v>
      </c>
      <c r="I11" s="179">
        <v>39167</v>
      </c>
      <c r="J11" s="229">
        <v>39167</v>
      </c>
      <c r="K11" s="164">
        <f t="shared" si="0"/>
        <v>20948</v>
      </c>
      <c r="L11" s="164">
        <f t="shared" si="1"/>
        <v>0.53483800137871162</v>
      </c>
      <c r="M11" s="167"/>
    </row>
    <row r="12" spans="1:13" ht="12.75" customHeight="1" x14ac:dyDescent="0.25">
      <c r="A12" s="150" t="s">
        <v>799</v>
      </c>
      <c r="B12" s="254" t="s">
        <v>927</v>
      </c>
      <c r="C12" s="255"/>
      <c r="D12" s="255"/>
      <c r="E12" s="255"/>
      <c r="F12" s="255"/>
      <c r="G12" s="256"/>
      <c r="H12" s="172">
        <f>SUM(H7:H11)</f>
        <v>207411</v>
      </c>
      <c r="I12" s="172">
        <f>SUM(I7:I11)</f>
        <v>180000</v>
      </c>
      <c r="J12" s="224">
        <f>SUM(J7:J11)</f>
        <v>180000</v>
      </c>
      <c r="K12" s="164">
        <f t="shared" si="0"/>
        <v>27411</v>
      </c>
      <c r="L12" s="164">
        <f t="shared" si="1"/>
        <v>0.15228333333333333</v>
      </c>
      <c r="M12" s="195"/>
    </row>
    <row r="13" spans="1:13" ht="12.75" customHeight="1" x14ac:dyDescent="0.25">
      <c r="A13" s="150"/>
      <c r="B13" s="248"/>
      <c r="C13" s="249"/>
      <c r="D13" s="249"/>
      <c r="E13" s="249"/>
      <c r="F13" s="249"/>
      <c r="G13" s="250"/>
      <c r="H13" s="182"/>
      <c r="I13" s="182"/>
      <c r="J13" s="182"/>
      <c r="K13" s="164"/>
      <c r="L13" s="164"/>
      <c r="M13"/>
    </row>
    <row r="14" spans="1:13" ht="12.75" customHeight="1" x14ac:dyDescent="0.25">
      <c r="A14" s="150">
        <v>2</v>
      </c>
      <c r="B14" s="248" t="s">
        <v>870</v>
      </c>
      <c r="C14" s="249"/>
      <c r="D14" s="249"/>
      <c r="E14" s="249"/>
      <c r="F14" s="249"/>
      <c r="G14" s="250"/>
      <c r="H14" s="182"/>
      <c r="I14" s="182"/>
      <c r="J14" s="182"/>
      <c r="K14" s="164"/>
      <c r="L14" s="164"/>
      <c r="M14"/>
    </row>
    <row r="15" spans="1:13" ht="12.75" customHeight="1" x14ac:dyDescent="0.25">
      <c r="A15" s="150" t="s">
        <v>804</v>
      </c>
      <c r="B15" s="251"/>
      <c r="C15" s="252" t="s">
        <v>922</v>
      </c>
      <c r="D15" s="249"/>
      <c r="E15" s="249"/>
      <c r="F15" s="249"/>
      <c r="G15" s="253"/>
      <c r="H15" s="179">
        <v>0</v>
      </c>
      <c r="I15" s="179">
        <v>0</v>
      </c>
      <c r="J15" s="229">
        <v>0</v>
      </c>
      <c r="K15" s="164">
        <f t="shared" ref="K15:K20" si="2">H15-I15</f>
        <v>0</v>
      </c>
      <c r="L15" s="164" t="str">
        <f t="shared" ref="L15:L20" si="3">IF(AND(OR(H15=0,I15&lt;&gt;0),OR(I15=0,H15&lt;&gt;0)),IF((H15+I15+K15&lt;&gt;0),IF(AND(OR(H15&gt;0,I15&lt;0),OR(I15&gt;0,H15&lt;0)),ABS(K15/MIN(ABS(I15),ABS(H15))),10),"-"),10)</f>
        <v>-</v>
      </c>
      <c r="M15" s="167"/>
    </row>
    <row r="16" spans="1:13" ht="12.75" customHeight="1" x14ac:dyDescent="0.25">
      <c r="A16" s="150" t="s">
        <v>806</v>
      </c>
      <c r="B16" s="251"/>
      <c r="C16" s="252" t="s">
        <v>923</v>
      </c>
      <c r="D16" s="249"/>
      <c r="E16" s="249"/>
      <c r="F16" s="249"/>
      <c r="G16" s="253"/>
      <c r="H16" s="179">
        <v>0</v>
      </c>
      <c r="I16" s="179">
        <v>0</v>
      </c>
      <c r="J16" s="229">
        <v>0</v>
      </c>
      <c r="K16" s="164">
        <f t="shared" si="2"/>
        <v>0</v>
      </c>
      <c r="L16" s="164" t="str">
        <f t="shared" si="3"/>
        <v>-</v>
      </c>
      <c r="M16" s="167"/>
    </row>
    <row r="17" spans="1:13" ht="12.75" customHeight="1" x14ac:dyDescent="0.25">
      <c r="A17" s="150" t="s">
        <v>808</v>
      </c>
      <c r="B17" s="251"/>
      <c r="C17" s="252" t="s">
        <v>924</v>
      </c>
      <c r="D17" s="249"/>
      <c r="E17" s="249"/>
      <c r="F17" s="249"/>
      <c r="G17" s="253"/>
      <c r="H17" s="179">
        <v>0</v>
      </c>
      <c r="I17" s="179">
        <v>0</v>
      </c>
      <c r="J17" s="229">
        <v>0</v>
      </c>
      <c r="K17" s="164">
        <f t="shared" si="2"/>
        <v>0</v>
      </c>
      <c r="L17" s="164" t="str">
        <f t="shared" si="3"/>
        <v>-</v>
      </c>
      <c r="M17" s="167"/>
    </row>
    <row r="18" spans="1:13" ht="12.75" customHeight="1" x14ac:dyDescent="0.25">
      <c r="A18" s="150" t="s">
        <v>810</v>
      </c>
      <c r="B18" s="251"/>
      <c r="C18" s="252" t="s">
        <v>925</v>
      </c>
      <c r="D18" s="249"/>
      <c r="E18" s="249"/>
      <c r="F18" s="249"/>
      <c r="G18" s="253"/>
      <c r="H18" s="179">
        <v>0</v>
      </c>
      <c r="I18" s="179">
        <v>0</v>
      </c>
      <c r="J18" s="229">
        <v>0</v>
      </c>
      <c r="K18" s="164">
        <f t="shared" si="2"/>
        <v>0</v>
      </c>
      <c r="L18" s="164" t="str">
        <f t="shared" si="3"/>
        <v>-</v>
      </c>
      <c r="M18" s="167"/>
    </row>
    <row r="19" spans="1:13" ht="12.75" customHeight="1" x14ac:dyDescent="0.25">
      <c r="A19" s="150" t="s">
        <v>812</v>
      </c>
      <c r="B19" s="251"/>
      <c r="C19" s="252" t="s">
        <v>928</v>
      </c>
      <c r="D19" s="249"/>
      <c r="E19" s="249"/>
      <c r="F19" s="249"/>
      <c r="G19" s="253"/>
      <c r="H19" s="179">
        <v>238496</v>
      </c>
      <c r="I19" s="179">
        <v>236081</v>
      </c>
      <c r="J19" s="229">
        <v>236081</v>
      </c>
      <c r="K19" s="164">
        <f t="shared" si="2"/>
        <v>2415</v>
      </c>
      <c r="L19" s="164">
        <f t="shared" si="3"/>
        <v>1.0229539861318785E-2</v>
      </c>
      <c r="M19" s="167"/>
    </row>
    <row r="20" spans="1:13" ht="12.75" customHeight="1" x14ac:dyDescent="0.25">
      <c r="A20" s="150" t="s">
        <v>814</v>
      </c>
      <c r="B20" s="254" t="s">
        <v>929</v>
      </c>
      <c r="C20" s="255"/>
      <c r="D20" s="255"/>
      <c r="E20" s="255"/>
      <c r="F20" s="255"/>
      <c r="G20" s="256"/>
      <c r="H20" s="172">
        <f>SUM(H15:H19)</f>
        <v>238496</v>
      </c>
      <c r="I20" s="172">
        <f>SUM(I15:I19)</f>
        <v>236081</v>
      </c>
      <c r="J20" s="224">
        <f>SUM(J15:J19)</f>
        <v>236081</v>
      </c>
      <c r="K20" s="164">
        <f t="shared" si="2"/>
        <v>2415</v>
      </c>
      <c r="L20" s="164">
        <f t="shared" si="3"/>
        <v>1.0229539861318785E-2</v>
      </c>
      <c r="M20" s="195"/>
    </row>
  </sheetData>
  <sheetProtection algorithmName="SHA-512" hashValue="JhZqmuOgRlqg64hJFMvLnxc1YbvY4DmRcCVcK+Z0B5gqKvDyvRWJwu7dqPfHzkG9Ye1yKuPD9ldNA96ez5aBqQ==" saltValue="wS+WZZmpotiXAaufgzJt6A==" spinCount="100000" sheet="1" objects="1" scenarios="1"/>
  <conditionalFormatting sqref="M7:M11">
    <cfRule type="expression" dxfId="119" priority="1">
      <formula>AND(OR((L7)&gt;2,(L7)&lt;-2),(L7)&lt;&gt;"-",OR((K7)&gt;750,(K7)&lt;-750))</formula>
    </cfRule>
  </conditionalFormatting>
  <conditionalFormatting sqref="I7">
    <cfRule type="expression" dxfId="118" priority="2">
      <formula>I7&lt;&gt;J7</formula>
    </cfRule>
  </conditionalFormatting>
  <conditionalFormatting sqref="I8">
    <cfRule type="expression" dxfId="117" priority="3">
      <formula>I8&lt;&gt;J8</formula>
    </cfRule>
  </conditionalFormatting>
  <conditionalFormatting sqref="I9">
    <cfRule type="expression" dxfId="116" priority="4">
      <formula>I9&lt;&gt;J9</formula>
    </cfRule>
  </conditionalFormatting>
  <conditionalFormatting sqref="I10">
    <cfRule type="expression" dxfId="115" priority="5">
      <formula>I10&lt;&gt;J10</formula>
    </cfRule>
  </conditionalFormatting>
  <conditionalFormatting sqref="I11">
    <cfRule type="expression" dxfId="114" priority="6">
      <formula>I11&lt;&gt;J11</formula>
    </cfRule>
  </conditionalFormatting>
  <conditionalFormatting sqref="I15">
    <cfRule type="expression" dxfId="113" priority="7">
      <formula>I15&lt;&gt;J15</formula>
    </cfRule>
  </conditionalFormatting>
  <conditionalFormatting sqref="I16">
    <cfRule type="expression" dxfId="112" priority="8">
      <formula>I16&lt;&gt;J16</formula>
    </cfRule>
  </conditionalFormatting>
  <conditionalFormatting sqref="I17">
    <cfRule type="expression" dxfId="111" priority="9">
      <formula>I17&lt;&gt;J17</formula>
    </cfRule>
  </conditionalFormatting>
  <conditionalFormatting sqref="I18">
    <cfRule type="expression" dxfId="110" priority="10">
      <formula>I18&lt;&gt;J18</formula>
    </cfRule>
  </conditionalFormatting>
  <conditionalFormatting sqref="I19">
    <cfRule type="expression" dxfId="109" priority="11">
      <formula>I19&lt;&gt;J19</formula>
    </cfRule>
  </conditionalFormatting>
  <conditionalFormatting sqref="M15:M19">
    <cfRule type="expression" dxfId="108" priority="12">
      <formula>AND(OR((L15)&gt;2,(L15)&lt;-2),(L15)&lt;&gt;"-",OR((K15)&gt;750,(K15)&lt;-750))</formula>
    </cfRule>
  </conditionalFormatting>
  <dataValidations count="2">
    <dataValidation type="whole" operator="greaterThan" allowBlank="1" showInputMessage="1" showErrorMessage="1" errorTitle="Whole numbers only allowed" error="All monies should be independently rounded to the nearest £1,000." sqref="H7:J11">
      <formula1>-99999999</formula1>
    </dataValidation>
    <dataValidation type="whole" operator="greaterThan" allowBlank="1" showInputMessage="1" showErrorMessage="1" errorTitle="Whole numbers only allowed" error="All monies should be independently rounded to the nearest £1,000." sqref="H15:J19">
      <formula1>-99999999</formula1>
    </dataValidation>
  </dataValidations>
  <printOptions headings="1" gridLines="1"/>
  <pageMargins left="0.70866141732283472" right="0.70866141732283472" top="0.74803149606299213" bottom="0.74803149606299213" header="0.31496062992125984" footer="0.31496062992125984"/>
  <pageSetup paperSize="8" scale="8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M15:M19 M7:M11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62"/>
  <sheetViews>
    <sheetView tabSelected="1" zoomScaleNormal="100" workbookViewId="0">
      <pane ySplit="4" topLeftCell="A25" activePane="bottomLeft" state="frozenSplit"/>
      <selection pane="bottomLeft" activeCell="H51" sqref="H51"/>
    </sheetView>
  </sheetViews>
  <sheetFormatPr defaultColWidth="9.140625" defaultRowHeight="12.75" x14ac:dyDescent="0.2"/>
  <cols>
    <col min="1" max="1" width="10.42578125" style="200" customWidth="1"/>
    <col min="2" max="2" width="2.28515625" style="129" customWidth="1"/>
    <col min="3" max="3" width="64.7109375" style="129" customWidth="1"/>
    <col min="4" max="4" width="1.85546875" style="129" hidden="1" customWidth="1"/>
    <col min="5" max="6" width="1.5703125" style="129" hidden="1" customWidth="1"/>
    <col min="7" max="7" width="2.42578125" style="129" hidden="1" customWidth="1"/>
    <col min="8" max="8" width="16.140625" style="129" bestFit="1" customWidth="1"/>
    <col min="9" max="9" width="16.28515625" style="129" customWidth="1"/>
    <col min="10" max="10" width="17" style="129" hidden="1" customWidth="1"/>
    <col min="11" max="12" width="15.140625" style="129" hidden="1" customWidth="1"/>
    <col min="13" max="13" width="77.42578125" style="129" customWidth="1"/>
    <col min="14" max="14" width="9.140625" style="129" customWidth="1"/>
    <col min="15" max="16384" width="9.140625" style="129"/>
  </cols>
  <sheetData>
    <row r="1" spans="1:12" customFormat="1" ht="45" customHeight="1" x14ac:dyDescent="0.25">
      <c r="A1" s="201" t="s">
        <v>930</v>
      </c>
      <c r="B1" s="615" t="s">
        <v>931</v>
      </c>
      <c r="C1" s="615"/>
      <c r="D1" s="204"/>
      <c r="E1" s="204"/>
      <c r="F1" s="204"/>
      <c r="G1" s="204"/>
      <c r="H1" s="204"/>
      <c r="I1" s="133" t="s">
        <v>780</v>
      </c>
      <c r="J1" s="134" t="s">
        <v>780</v>
      </c>
      <c r="L1" s="135"/>
    </row>
    <row r="2" spans="1:12" customFormat="1" ht="45.4" customHeight="1" x14ac:dyDescent="0.25">
      <c r="A2" s="136"/>
      <c r="B2" s="616" t="str">
        <f>'Hide_me(drop_downs)'!I1</f>
        <v>Year ended 31 July 2019</v>
      </c>
      <c r="C2" s="616"/>
      <c r="D2" s="207"/>
      <c r="E2" s="207"/>
      <c r="F2" s="207"/>
      <c r="G2" s="207"/>
      <c r="H2" s="257"/>
      <c r="I2" s="139" t="s">
        <v>781</v>
      </c>
      <c r="J2" s="139" t="s">
        <v>782</v>
      </c>
      <c r="L2" s="140"/>
    </row>
    <row r="3" spans="1:12" customFormat="1" ht="33.75" customHeight="1" x14ac:dyDescent="0.25">
      <c r="A3" s="258"/>
      <c r="B3" s="244"/>
      <c r="C3" s="244"/>
      <c r="D3" s="244"/>
      <c r="E3" s="244"/>
      <c r="F3" s="244"/>
      <c r="G3" s="246"/>
      <c r="H3" s="26" t="str">
        <f>'Hide_me(drop_downs)'!I1</f>
        <v>Year ended 31 July 2019</v>
      </c>
      <c r="I3" s="27" t="str">
        <f>'Hide_me(drop_downs)'!J1</f>
        <v>Year ended 31 July 2018</v>
      </c>
      <c r="J3" s="27" t="str">
        <f>'Hide_me(drop_downs)'!J1</f>
        <v>Year ended 31 July 2018</v>
      </c>
      <c r="K3" s="140"/>
      <c r="L3" s="140"/>
    </row>
    <row r="4" spans="1:12" customFormat="1" ht="15.4" customHeight="1" x14ac:dyDescent="0.25">
      <c r="A4" s="258"/>
      <c r="B4" s="259"/>
      <c r="C4" s="259"/>
      <c r="D4" s="259"/>
      <c r="E4" s="259"/>
      <c r="F4" s="259"/>
      <c r="G4" s="260"/>
      <c r="H4" s="261" t="s">
        <v>784</v>
      </c>
      <c r="I4" s="261" t="s">
        <v>784</v>
      </c>
      <c r="J4" s="261" t="s">
        <v>784</v>
      </c>
      <c r="K4" s="135" t="s">
        <v>784</v>
      </c>
      <c r="L4" s="135" t="s">
        <v>785</v>
      </c>
    </row>
    <row r="5" spans="1:12" customFormat="1" ht="12.95" customHeight="1" x14ac:dyDescent="0.25">
      <c r="A5" s="150">
        <v>1</v>
      </c>
      <c r="B5" s="151" t="s">
        <v>932</v>
      </c>
      <c r="C5" s="152"/>
      <c r="D5" s="152"/>
      <c r="E5" s="152"/>
      <c r="F5" s="152"/>
      <c r="G5" s="153"/>
      <c r="H5" s="154"/>
      <c r="I5" s="154"/>
      <c r="J5" s="154"/>
      <c r="K5" s="156" t="s">
        <v>193</v>
      </c>
      <c r="L5" s="156" t="s">
        <v>193</v>
      </c>
    </row>
    <row r="6" spans="1:12" x14ac:dyDescent="0.2">
      <c r="A6" s="150" t="s">
        <v>789</v>
      </c>
      <c r="B6" s="262"/>
      <c r="C6" s="263" t="s">
        <v>933</v>
      </c>
      <c r="D6" s="263"/>
      <c r="E6" s="263"/>
      <c r="F6" s="263"/>
      <c r="G6" s="264"/>
      <c r="H6" s="265">
        <f>Table_1_UK!H33</f>
        <v>-93037</v>
      </c>
      <c r="I6" s="161">
        <v>69978</v>
      </c>
      <c r="J6" s="197">
        <v>69978</v>
      </c>
      <c r="K6" s="164">
        <f>H6-I6</f>
        <v>-163015</v>
      </c>
      <c r="L6" s="164">
        <f>IF(AND(OR(H6=0,I6&lt;&gt;0),OR(I6=0,H6&lt;&gt;0)),IF((H6+I6+K6&lt;&gt;0),IF(AND(OR(H6&gt;0,I6&lt;0),OR(I6&gt;0,H6&lt;0)),ABS(K6/MIN(ABS(I6),ABS(H6))),10),"-"),10)</f>
        <v>10</v>
      </c>
    </row>
    <row r="7" spans="1:12" x14ac:dyDescent="0.2">
      <c r="A7" s="150"/>
      <c r="B7" s="262"/>
      <c r="C7" s="263"/>
      <c r="D7" s="263"/>
      <c r="E7" s="263"/>
      <c r="F7" s="263"/>
      <c r="G7" s="264"/>
      <c r="H7" s="177"/>
      <c r="I7" s="177"/>
      <c r="J7" s="177"/>
      <c r="K7" s="164"/>
      <c r="L7" s="164"/>
    </row>
    <row r="8" spans="1:12" x14ac:dyDescent="0.2">
      <c r="A8" s="150">
        <v>2</v>
      </c>
      <c r="B8" s="151" t="s">
        <v>934</v>
      </c>
      <c r="C8" s="152"/>
      <c r="D8" s="152"/>
      <c r="E8" s="152"/>
      <c r="F8" s="152"/>
      <c r="G8" s="153"/>
      <c r="H8" s="178"/>
      <c r="I8" s="178"/>
      <c r="J8" s="178"/>
      <c r="K8" s="164"/>
      <c r="L8" s="164"/>
    </row>
    <row r="9" spans="1:12" x14ac:dyDescent="0.2">
      <c r="A9" s="150" t="s">
        <v>804</v>
      </c>
      <c r="B9" s="266"/>
      <c r="C9" s="217" t="s">
        <v>811</v>
      </c>
      <c r="D9" s="218"/>
      <c r="E9" s="218"/>
      <c r="F9" s="218"/>
      <c r="G9" s="219"/>
      <c r="H9" s="161">
        <v>63758</v>
      </c>
      <c r="I9" s="161">
        <v>60197</v>
      </c>
      <c r="J9" s="197">
        <v>60197</v>
      </c>
      <c r="K9" s="164">
        <f t="shared" ref="K9:K22" si="0">H9-I9</f>
        <v>3561</v>
      </c>
      <c r="L9" s="164">
        <f t="shared" ref="L9:L22" si="1">IF(AND(OR(H9=0,I9&lt;&gt;0),OR(I9=0,H9&lt;&gt;0)),IF((H9+I9+K9&lt;&gt;0),IF(AND(OR(H9&gt;0,I9&lt;0),OR(I9&gt;0,H9&lt;0)),ABS(K9/MIN(ABS(I9),ABS(H9))),10),"-"),10)</f>
        <v>5.915577188231972E-2</v>
      </c>
    </row>
    <row r="10" spans="1:12" x14ac:dyDescent="0.2">
      <c r="A10" s="150" t="s">
        <v>806</v>
      </c>
      <c r="B10" s="267"/>
      <c r="C10" s="217" t="s">
        <v>935</v>
      </c>
      <c r="D10" s="159"/>
      <c r="E10" s="159"/>
      <c r="F10" s="237"/>
      <c r="G10" s="219"/>
      <c r="H10" s="161">
        <v>0</v>
      </c>
      <c r="I10" s="161">
        <v>0</v>
      </c>
      <c r="J10" s="197">
        <v>0</v>
      </c>
      <c r="K10" s="164">
        <f t="shared" si="0"/>
        <v>0</v>
      </c>
      <c r="L10" s="164" t="str">
        <f t="shared" si="1"/>
        <v>-</v>
      </c>
    </row>
    <row r="11" spans="1:12" x14ac:dyDescent="0.2">
      <c r="A11" s="150" t="s">
        <v>808</v>
      </c>
      <c r="B11" s="267"/>
      <c r="C11" s="217" t="s">
        <v>936</v>
      </c>
      <c r="D11" s="159"/>
      <c r="E11" s="159"/>
      <c r="F11" s="237"/>
      <c r="G11" s="219"/>
      <c r="H11" s="161">
        <v>0</v>
      </c>
      <c r="I11" s="161">
        <v>0</v>
      </c>
      <c r="J11" s="197">
        <v>0</v>
      </c>
      <c r="K11" s="164">
        <f t="shared" si="0"/>
        <v>0</v>
      </c>
      <c r="L11" s="164" t="str">
        <f t="shared" si="1"/>
        <v>-</v>
      </c>
    </row>
    <row r="12" spans="1:12" x14ac:dyDescent="0.2">
      <c r="A12" s="150" t="s">
        <v>810</v>
      </c>
      <c r="B12" s="267"/>
      <c r="C12" s="217" t="s">
        <v>937</v>
      </c>
      <c r="D12" s="218"/>
      <c r="E12" s="218"/>
      <c r="F12" s="218"/>
      <c r="G12" s="219"/>
      <c r="H12" s="161">
        <v>0</v>
      </c>
      <c r="I12" s="161">
        <v>0</v>
      </c>
      <c r="J12" s="197">
        <v>0</v>
      </c>
      <c r="K12" s="164">
        <f t="shared" si="0"/>
        <v>0</v>
      </c>
      <c r="L12" s="164" t="str">
        <f t="shared" si="1"/>
        <v>-</v>
      </c>
    </row>
    <row r="13" spans="1:12" x14ac:dyDescent="0.2">
      <c r="A13" s="150" t="s">
        <v>812</v>
      </c>
      <c r="B13" s="267"/>
      <c r="C13" s="217" t="s">
        <v>938</v>
      </c>
      <c r="D13" s="218"/>
      <c r="E13" s="218"/>
      <c r="F13" s="218"/>
      <c r="G13" s="219"/>
      <c r="H13" s="197">
        <f>-Table_1_UK!H25</f>
        <v>-36784</v>
      </c>
      <c r="I13" s="161">
        <v>-42357</v>
      </c>
      <c r="J13" s="197">
        <v>-42357</v>
      </c>
      <c r="K13" s="164">
        <f t="shared" si="0"/>
        <v>5573</v>
      </c>
      <c r="L13" s="164">
        <f t="shared" si="1"/>
        <v>0.15150608960417572</v>
      </c>
    </row>
    <row r="14" spans="1:12" x14ac:dyDescent="0.2">
      <c r="A14" s="150" t="s">
        <v>814</v>
      </c>
      <c r="B14" s="267"/>
      <c r="C14" s="217" t="s">
        <v>939</v>
      </c>
      <c r="D14" s="218"/>
      <c r="E14" s="218"/>
      <c r="F14" s="218"/>
      <c r="G14" s="219"/>
      <c r="H14" s="161">
        <v>359</v>
      </c>
      <c r="I14" s="161">
        <v>85</v>
      </c>
      <c r="J14" s="197">
        <v>85</v>
      </c>
      <c r="K14" s="164">
        <f t="shared" si="0"/>
        <v>274</v>
      </c>
      <c r="L14" s="164">
        <f t="shared" si="1"/>
        <v>3.223529411764706</v>
      </c>
    </row>
    <row r="15" spans="1:12" x14ac:dyDescent="0.2">
      <c r="A15" s="150" t="s">
        <v>873</v>
      </c>
      <c r="B15" s="267"/>
      <c r="C15" s="217" t="s">
        <v>940</v>
      </c>
      <c r="D15" s="218"/>
      <c r="E15" s="218"/>
      <c r="F15" s="218"/>
      <c r="G15" s="219"/>
      <c r="H15" s="161">
        <v>-6101</v>
      </c>
      <c r="I15" s="161">
        <v>-10841</v>
      </c>
      <c r="J15" s="197">
        <v>-10841</v>
      </c>
      <c r="K15" s="164">
        <f t="shared" si="0"/>
        <v>4740</v>
      </c>
      <c r="L15" s="164">
        <f t="shared" si="1"/>
        <v>0.77692181609572197</v>
      </c>
    </row>
    <row r="16" spans="1:12" x14ac:dyDescent="0.2">
      <c r="A16" s="150" t="s">
        <v>941</v>
      </c>
      <c r="B16" s="267"/>
      <c r="C16" s="217" t="s">
        <v>942</v>
      </c>
      <c r="D16" s="218"/>
      <c r="E16" s="218"/>
      <c r="F16" s="218"/>
      <c r="G16" s="219"/>
      <c r="H16" s="161">
        <v>24767</v>
      </c>
      <c r="I16" s="161">
        <v>22700</v>
      </c>
      <c r="J16" s="197">
        <v>22700</v>
      </c>
      <c r="K16" s="164">
        <f t="shared" si="0"/>
        <v>2067</v>
      </c>
      <c r="L16" s="164">
        <f t="shared" si="1"/>
        <v>9.1057268722466958E-2</v>
      </c>
    </row>
    <row r="17" spans="1:17" x14ac:dyDescent="0.2">
      <c r="A17" s="150" t="s">
        <v>943</v>
      </c>
      <c r="B17" s="267"/>
      <c r="C17" s="217" t="s">
        <v>944</v>
      </c>
      <c r="D17" s="218"/>
      <c r="E17" s="218"/>
      <c r="F17" s="218"/>
      <c r="G17" s="219"/>
      <c r="H17" s="161">
        <v>196822</v>
      </c>
      <c r="I17" s="161">
        <v>-1400</v>
      </c>
      <c r="J17" s="197">
        <v>-1400</v>
      </c>
      <c r="K17" s="164">
        <f t="shared" si="0"/>
        <v>198222</v>
      </c>
      <c r="L17" s="164">
        <f t="shared" si="1"/>
        <v>10</v>
      </c>
    </row>
    <row r="18" spans="1:17" x14ac:dyDescent="0.2">
      <c r="A18" s="150" t="s">
        <v>945</v>
      </c>
      <c r="B18" s="267"/>
      <c r="C18" s="217" t="s">
        <v>946</v>
      </c>
      <c r="D18" s="218"/>
      <c r="E18" s="218"/>
      <c r="F18" s="218"/>
      <c r="G18" s="219"/>
      <c r="H18" s="161">
        <v>0</v>
      </c>
      <c r="I18" s="161">
        <v>0</v>
      </c>
      <c r="J18" s="197">
        <v>0</v>
      </c>
      <c r="K18" s="164">
        <f t="shared" si="0"/>
        <v>0</v>
      </c>
      <c r="L18" s="164" t="str">
        <f t="shared" si="1"/>
        <v>-</v>
      </c>
    </row>
    <row r="19" spans="1:17" x14ac:dyDescent="0.2">
      <c r="A19" s="150" t="s">
        <v>947</v>
      </c>
      <c r="B19" s="267"/>
      <c r="C19" s="217" t="s">
        <v>948</v>
      </c>
      <c r="D19" s="218"/>
      <c r="E19" s="218"/>
      <c r="F19" s="218"/>
      <c r="G19" s="219"/>
      <c r="H19" s="161">
        <v>-243</v>
      </c>
      <c r="I19" s="161">
        <v>0</v>
      </c>
      <c r="J19" s="197">
        <v>0</v>
      </c>
      <c r="K19" s="164">
        <f t="shared" si="0"/>
        <v>-243</v>
      </c>
      <c r="L19" s="164">
        <f t="shared" si="1"/>
        <v>10</v>
      </c>
    </row>
    <row r="20" spans="1:17" x14ac:dyDescent="0.2">
      <c r="A20" s="150" t="s">
        <v>949</v>
      </c>
      <c r="B20" s="267"/>
      <c r="C20" s="217" t="s">
        <v>950</v>
      </c>
      <c r="D20" s="218"/>
      <c r="E20" s="218"/>
      <c r="F20" s="218"/>
      <c r="G20" s="219"/>
      <c r="H20" s="197">
        <f>-Table_1_UK!H26</f>
        <v>0</v>
      </c>
      <c r="I20" s="161">
        <v>0</v>
      </c>
      <c r="J20" s="197">
        <v>0</v>
      </c>
      <c r="K20" s="164">
        <f t="shared" si="0"/>
        <v>0</v>
      </c>
      <c r="L20" s="164" t="str">
        <f t="shared" si="1"/>
        <v>-</v>
      </c>
    </row>
    <row r="21" spans="1:17" x14ac:dyDescent="0.2">
      <c r="A21" s="150" t="s">
        <v>951</v>
      </c>
      <c r="B21" s="267"/>
      <c r="C21" s="217" t="s">
        <v>952</v>
      </c>
      <c r="D21" s="218"/>
      <c r="E21" s="218"/>
      <c r="F21" s="218"/>
      <c r="G21" s="219"/>
      <c r="H21" s="197">
        <f>-Table_1_UK!H27</f>
        <v>0</v>
      </c>
      <c r="I21" s="161">
        <v>0</v>
      </c>
      <c r="J21" s="197">
        <v>0</v>
      </c>
      <c r="K21" s="164">
        <f t="shared" si="0"/>
        <v>0</v>
      </c>
      <c r="L21" s="164" t="str">
        <f t="shared" si="1"/>
        <v>-</v>
      </c>
      <c r="M21" s="129" t="s">
        <v>953</v>
      </c>
    </row>
    <row r="22" spans="1:17" x14ac:dyDescent="0.2">
      <c r="A22" s="150" t="s">
        <v>954</v>
      </c>
      <c r="B22" s="266"/>
      <c r="C22" s="217" t="s">
        <v>163</v>
      </c>
      <c r="D22" s="218"/>
      <c r="E22" s="218"/>
      <c r="F22" s="218"/>
      <c r="G22" s="219"/>
      <c r="H22" s="161">
        <v>0</v>
      </c>
      <c r="I22" s="161">
        <v>0</v>
      </c>
      <c r="J22" s="197">
        <v>0</v>
      </c>
      <c r="K22" s="164">
        <f t="shared" si="0"/>
        <v>0</v>
      </c>
      <c r="L22" s="164" t="str">
        <f t="shared" si="1"/>
        <v>-</v>
      </c>
      <c r="M22" s="268"/>
      <c r="N22" s="269"/>
      <c r="O22" s="269"/>
      <c r="P22" s="269"/>
      <c r="Q22" s="269"/>
    </row>
    <row r="23" spans="1:17" x14ac:dyDescent="0.2">
      <c r="A23" s="150"/>
      <c r="B23" s="216"/>
      <c r="C23" s="218"/>
      <c r="D23" s="218"/>
      <c r="E23" s="218"/>
      <c r="F23" s="218"/>
      <c r="G23" s="219"/>
      <c r="H23" s="177"/>
      <c r="I23" s="177"/>
      <c r="J23" s="177"/>
      <c r="K23" s="164"/>
      <c r="L23" s="164"/>
      <c r="M23" s="269"/>
      <c r="N23" s="269"/>
      <c r="O23" s="269"/>
      <c r="P23" s="269"/>
      <c r="Q23" s="269"/>
    </row>
    <row r="24" spans="1:17" x14ac:dyDescent="0.2">
      <c r="A24" s="150">
        <v>3</v>
      </c>
      <c r="B24" s="151" t="s">
        <v>955</v>
      </c>
      <c r="C24" s="152"/>
      <c r="D24" s="152"/>
      <c r="E24" s="152"/>
      <c r="F24" s="152"/>
      <c r="G24" s="153"/>
      <c r="H24" s="178"/>
      <c r="I24" s="178"/>
      <c r="J24" s="178"/>
      <c r="K24" s="164"/>
      <c r="L24" s="164"/>
      <c r="M24" s="269"/>
      <c r="N24" s="269"/>
      <c r="O24" s="269"/>
      <c r="P24" s="269"/>
      <c r="Q24" s="269"/>
    </row>
    <row r="25" spans="1:17" x14ac:dyDescent="0.2">
      <c r="A25" s="150" t="s">
        <v>876</v>
      </c>
      <c r="B25" s="270"/>
      <c r="C25" s="158" t="s">
        <v>798</v>
      </c>
      <c r="D25" s="159"/>
      <c r="E25" s="159"/>
      <c r="F25" s="159"/>
      <c r="G25" s="160"/>
      <c r="H25" s="161">
        <v>-17413</v>
      </c>
      <c r="I25" s="161">
        <v>-14593</v>
      </c>
      <c r="J25" s="197">
        <v>-14593</v>
      </c>
      <c r="K25" s="164">
        <f>H25-I25</f>
        <v>-2820</v>
      </c>
      <c r="L25" s="164">
        <f>IF(AND(OR(H25=0,I25&lt;&gt;0),OR(I25=0,H25&lt;&gt;0)),IF((H25+I25+K25&lt;&gt;0),IF(AND(OR(H25&gt;0,I25&lt;0),OR(I25&gt;0,H25&lt;0)),ABS(K25/MIN(ABS(I25),ABS(H25))),10),"-"),10)</f>
        <v>0.19324333584595355</v>
      </c>
    </row>
    <row r="26" spans="1:17" x14ac:dyDescent="0.2">
      <c r="A26" s="150" t="s">
        <v>878</v>
      </c>
      <c r="B26" s="270"/>
      <c r="C26" s="158" t="s">
        <v>956</v>
      </c>
      <c r="D26" s="159"/>
      <c r="E26" s="159"/>
      <c r="F26" s="159"/>
      <c r="G26" s="160"/>
      <c r="H26" s="161">
        <v>33014</v>
      </c>
      <c r="I26" s="161">
        <v>16841</v>
      </c>
      <c r="J26" s="197">
        <v>16841</v>
      </c>
      <c r="K26" s="164">
        <f>H26-I26</f>
        <v>16173</v>
      </c>
      <c r="L26" s="164">
        <f>IF(AND(OR(H26=0,I26&lt;&gt;0),OR(I26=0,H26&lt;&gt;0)),IF((H26+I26+K26&lt;&gt;0),IF(AND(OR(H26&gt;0,I26&lt;0),OR(I26&gt;0,H26&lt;0)),ABS(K26/MIN(ABS(I26),ABS(H26))),10),"-"),10)</f>
        <v>0.96033489697761421</v>
      </c>
    </row>
    <row r="27" spans="1:17" x14ac:dyDescent="0.2">
      <c r="A27" s="150" t="s">
        <v>880</v>
      </c>
      <c r="B27" s="270"/>
      <c r="C27" s="158" t="s">
        <v>957</v>
      </c>
      <c r="D27" s="159"/>
      <c r="E27" s="159"/>
      <c r="F27" s="159"/>
      <c r="G27" s="160"/>
      <c r="H27" s="161">
        <v>-8034</v>
      </c>
      <c r="I27" s="161">
        <v>-1394</v>
      </c>
      <c r="J27" s="197">
        <v>-1394</v>
      </c>
      <c r="K27" s="164">
        <f>H27-I27</f>
        <v>-6640</v>
      </c>
      <c r="L27" s="164">
        <f>IF(AND(OR(H27=0,I27&lt;&gt;0),OR(I27=0,H27&lt;&gt;0)),IF((H27+I27+K27&lt;&gt;0),IF(AND(OR(H27&gt;0,I27&lt;0),OR(I27&gt;0,H27&lt;0)),ABS(K27/MIN(ABS(I27),ABS(H27))),10),"-"),10)</f>
        <v>4.7632711621233863</v>
      </c>
    </row>
    <row r="28" spans="1:17" x14ac:dyDescent="0.2">
      <c r="A28" s="150" t="s">
        <v>882</v>
      </c>
      <c r="B28" s="270"/>
      <c r="C28" s="158" t="s">
        <v>958</v>
      </c>
      <c r="D28" s="159"/>
      <c r="E28" s="159"/>
      <c r="F28" s="159"/>
      <c r="G28" s="160"/>
      <c r="H28" s="161">
        <v>-4560</v>
      </c>
      <c r="I28" s="161">
        <v>-187</v>
      </c>
      <c r="J28" s="197">
        <v>-187</v>
      </c>
      <c r="K28" s="164">
        <f>H28-I28</f>
        <v>-4373</v>
      </c>
      <c r="L28" s="164">
        <f>IF(AND(OR(H28=0,I28&lt;&gt;0),OR(I28=0,H28&lt;&gt;0)),IF((H28+I28+K28&lt;&gt;0),IF(AND(OR(H28&gt;0,I28&lt;0),OR(I28&gt;0,H28&lt;0)),ABS(K28/MIN(ABS(I28),ABS(H28))),10),"-"),10)</f>
        <v>23.385026737967916</v>
      </c>
    </row>
    <row r="29" spans="1:17" x14ac:dyDescent="0.2">
      <c r="A29" s="150" t="s">
        <v>884</v>
      </c>
      <c r="B29" s="270"/>
      <c r="C29" s="158" t="s">
        <v>959</v>
      </c>
      <c r="D29" s="159"/>
      <c r="E29" s="159"/>
      <c r="F29" s="159"/>
      <c r="G29" s="160"/>
      <c r="H29" s="161">
        <v>-89460</v>
      </c>
      <c r="I29" s="161">
        <v>-43818</v>
      </c>
      <c r="J29" s="197">
        <v>-43818</v>
      </c>
      <c r="K29" s="164">
        <f>H29-I29</f>
        <v>-45642</v>
      </c>
      <c r="L29" s="164">
        <f>IF(AND(OR(H29=0,I29&lt;&gt;0),OR(I29=0,H29&lt;&gt;0)),IF((H29+I29+K29&lt;&gt;0),IF(AND(OR(H29&gt;0,I29&lt;0),OR(I29&gt;0,H29&lt;0)),ABS(K29/MIN(ABS(I29),ABS(H29))),10),"-"),10)</f>
        <v>1.041626728741613</v>
      </c>
    </row>
    <row r="30" spans="1:17" x14ac:dyDescent="0.2">
      <c r="A30" s="150"/>
      <c r="B30" s="270"/>
      <c r="C30" s="158"/>
      <c r="D30" s="159"/>
      <c r="E30" s="159"/>
      <c r="F30" s="159"/>
      <c r="G30" s="160"/>
      <c r="H30" s="196"/>
      <c r="I30" s="177"/>
      <c r="J30" s="177"/>
      <c r="K30" s="164"/>
      <c r="L30" s="164"/>
    </row>
    <row r="31" spans="1:17" x14ac:dyDescent="0.2">
      <c r="A31" s="150">
        <v>4</v>
      </c>
      <c r="B31" s="169" t="s">
        <v>960</v>
      </c>
      <c r="C31" s="227"/>
      <c r="D31" s="227"/>
      <c r="E31" s="227"/>
      <c r="F31" s="227"/>
      <c r="G31" s="228"/>
      <c r="H31" s="172">
        <f>SUM(H6:H29)</f>
        <v>63088</v>
      </c>
      <c r="I31" s="172">
        <f>SUM(I6:I29)</f>
        <v>55211</v>
      </c>
      <c r="J31" s="224">
        <f>SUM(J6:J29)</f>
        <v>55211</v>
      </c>
      <c r="K31" s="164">
        <f>H31-I31</f>
        <v>7877</v>
      </c>
      <c r="L31" s="164">
        <f>IF(AND(OR(H31=0,I31&lt;&gt;0),OR(I31=0,H31&lt;&gt;0)),IF((H31+I31+K31&lt;&gt;0),IF(AND(OR(H31&gt;0,I31&lt;0),OR(I31&gt;0,H31&lt;0)),ABS(K31/MIN(ABS(I31),ABS(H31))),10),"-"),10)</f>
        <v>0.14267084457807322</v>
      </c>
    </row>
    <row r="32" spans="1:17" x14ac:dyDescent="0.2">
      <c r="A32" s="150"/>
      <c r="B32" s="191"/>
      <c r="C32" s="192"/>
      <c r="D32" s="192"/>
      <c r="E32" s="192"/>
      <c r="F32" s="192"/>
      <c r="G32" s="193"/>
      <c r="H32" s="177"/>
      <c r="I32" s="177"/>
      <c r="J32" s="177"/>
      <c r="K32" s="164"/>
      <c r="L32" s="164"/>
    </row>
    <row r="33" spans="1:13" x14ac:dyDescent="0.2">
      <c r="A33" s="150">
        <v>5</v>
      </c>
      <c r="B33" s="151" t="s">
        <v>961</v>
      </c>
      <c r="C33" s="152"/>
      <c r="D33" s="152"/>
      <c r="E33" s="152"/>
      <c r="F33" s="152"/>
      <c r="G33" s="153"/>
      <c r="H33" s="178"/>
      <c r="I33" s="178"/>
      <c r="J33" s="178"/>
      <c r="K33" s="164"/>
      <c r="L33" s="164"/>
    </row>
    <row r="34" spans="1:13" x14ac:dyDescent="0.2">
      <c r="A34" s="150" t="s">
        <v>962</v>
      </c>
      <c r="B34" s="270"/>
      <c r="C34" s="1" t="s">
        <v>963</v>
      </c>
      <c r="D34" s="159"/>
      <c r="E34" s="159"/>
      <c r="F34" s="159"/>
      <c r="G34" s="160"/>
      <c r="H34" s="161">
        <v>5925</v>
      </c>
      <c r="I34" s="161">
        <v>1615</v>
      </c>
      <c r="J34" s="197">
        <v>1615</v>
      </c>
      <c r="K34" s="164">
        <f t="shared" ref="K34:K46" si="2">H34-I34</f>
        <v>4310</v>
      </c>
      <c r="L34" s="164">
        <f t="shared" ref="L34:L46" si="3">IF(AND(OR(H34=0,I34&lt;&gt;0),OR(I34=0,H34&lt;&gt;0)),IF((H34+I34+K34&lt;&gt;0),IF(AND(OR(H34&gt;0,I34&lt;0),OR(I34&gt;0,H34&lt;0)),ABS(K34/MIN(ABS(I34),ABS(H34))),10),"-"),10)</f>
        <v>2.6687306501547989</v>
      </c>
    </row>
    <row r="35" spans="1:13" x14ac:dyDescent="0.2">
      <c r="A35" s="150" t="s">
        <v>964</v>
      </c>
      <c r="B35" s="270"/>
      <c r="C35" s="1" t="s">
        <v>965</v>
      </c>
      <c r="D35" s="159"/>
      <c r="E35" s="159"/>
      <c r="F35" s="159"/>
      <c r="G35" s="160"/>
      <c r="H35" s="161">
        <v>0</v>
      </c>
      <c r="I35" s="161">
        <v>0</v>
      </c>
      <c r="J35" s="197">
        <v>0</v>
      </c>
      <c r="K35" s="164">
        <f t="shared" si="2"/>
        <v>0</v>
      </c>
      <c r="L35" s="164" t="str">
        <f t="shared" si="3"/>
        <v>-</v>
      </c>
    </row>
    <row r="36" spans="1:13" x14ac:dyDescent="0.2">
      <c r="A36" s="150" t="s">
        <v>966</v>
      </c>
      <c r="B36" s="270"/>
      <c r="C36" s="1" t="s">
        <v>967</v>
      </c>
      <c r="D36" s="159"/>
      <c r="E36" s="159"/>
      <c r="F36" s="159"/>
      <c r="G36" s="160"/>
      <c r="H36" s="161">
        <v>89460</v>
      </c>
      <c r="I36" s="161">
        <v>43818</v>
      </c>
      <c r="J36" s="197">
        <v>43818</v>
      </c>
      <c r="K36" s="164">
        <f t="shared" si="2"/>
        <v>45642</v>
      </c>
      <c r="L36" s="164">
        <f t="shared" si="3"/>
        <v>1.041626728741613</v>
      </c>
    </row>
    <row r="37" spans="1:13" x14ac:dyDescent="0.2">
      <c r="A37" s="150" t="s">
        <v>968</v>
      </c>
      <c r="B37" s="270"/>
      <c r="C37" s="158" t="s">
        <v>969</v>
      </c>
      <c r="D37" s="159"/>
      <c r="E37" s="159"/>
      <c r="F37" s="159"/>
      <c r="G37" s="160"/>
      <c r="H37" s="161">
        <v>7715</v>
      </c>
      <c r="I37" s="161">
        <v>5042</v>
      </c>
      <c r="J37" s="197">
        <v>5042</v>
      </c>
      <c r="K37" s="164">
        <f t="shared" si="2"/>
        <v>2673</v>
      </c>
      <c r="L37" s="164">
        <f t="shared" si="3"/>
        <v>0.53014676715589049</v>
      </c>
    </row>
    <row r="38" spans="1:13" x14ac:dyDescent="0.2">
      <c r="A38" s="150" t="s">
        <v>970</v>
      </c>
      <c r="B38" s="270"/>
      <c r="C38" s="158" t="s">
        <v>971</v>
      </c>
      <c r="D38" s="159"/>
      <c r="E38" s="159"/>
      <c r="F38" s="159"/>
      <c r="G38" s="160"/>
      <c r="H38" s="161">
        <v>-27411</v>
      </c>
      <c r="I38" s="161">
        <v>-1030</v>
      </c>
      <c r="J38" s="197">
        <v>-1030</v>
      </c>
      <c r="K38" s="164">
        <f t="shared" si="2"/>
        <v>-26381</v>
      </c>
      <c r="L38" s="164">
        <f t="shared" si="3"/>
        <v>25.612621359223301</v>
      </c>
    </row>
    <row r="39" spans="1:13" x14ac:dyDescent="0.2">
      <c r="A39" s="150" t="s">
        <v>972</v>
      </c>
      <c r="B39" s="270"/>
      <c r="C39" s="158" t="s">
        <v>798</v>
      </c>
      <c r="D39" s="159"/>
      <c r="E39" s="159"/>
      <c r="F39" s="159"/>
      <c r="G39" s="160"/>
      <c r="H39" s="161">
        <v>17413</v>
      </c>
      <c r="I39" s="161">
        <v>14493</v>
      </c>
      <c r="J39" s="197">
        <v>14493</v>
      </c>
      <c r="K39" s="164">
        <f t="shared" si="2"/>
        <v>2920</v>
      </c>
      <c r="L39" s="164">
        <f t="shared" si="3"/>
        <v>0.20147657489822673</v>
      </c>
    </row>
    <row r="40" spans="1:13" x14ac:dyDescent="0.2">
      <c r="A40" s="150" t="s">
        <v>973</v>
      </c>
      <c r="B40" s="270"/>
      <c r="C40" s="158" t="s">
        <v>974</v>
      </c>
      <c r="D40" s="159"/>
      <c r="E40" s="159"/>
      <c r="F40" s="159"/>
      <c r="G40" s="160"/>
      <c r="H40" s="161">
        <v>-137021</v>
      </c>
      <c r="I40" s="161">
        <v>-199151</v>
      </c>
      <c r="J40" s="197">
        <v>-199151</v>
      </c>
      <c r="K40" s="164">
        <f t="shared" si="2"/>
        <v>62130</v>
      </c>
      <c r="L40" s="164">
        <f t="shared" si="3"/>
        <v>0.4534341451310383</v>
      </c>
    </row>
    <row r="41" spans="1:13" x14ac:dyDescent="0.2">
      <c r="A41" s="150" t="s">
        <v>975</v>
      </c>
      <c r="B41" s="270"/>
      <c r="C41" s="158" t="s">
        <v>976</v>
      </c>
      <c r="D41" s="159"/>
      <c r="E41" s="159"/>
      <c r="F41" s="159"/>
      <c r="G41" s="160"/>
      <c r="H41" s="161">
        <v>0</v>
      </c>
      <c r="I41" s="161">
        <v>0</v>
      </c>
      <c r="J41" s="197">
        <v>0</v>
      </c>
      <c r="K41" s="164">
        <f t="shared" si="2"/>
        <v>0</v>
      </c>
      <c r="L41" s="164" t="str">
        <f t="shared" si="3"/>
        <v>-</v>
      </c>
    </row>
    <row r="42" spans="1:13" x14ac:dyDescent="0.2">
      <c r="A42" s="150" t="s">
        <v>977</v>
      </c>
      <c r="B42" s="267"/>
      <c r="C42" s="158" t="s">
        <v>978</v>
      </c>
      <c r="D42" s="159"/>
      <c r="E42" s="159"/>
      <c r="F42" s="237"/>
      <c r="G42" s="219"/>
      <c r="H42" s="161">
        <v>-217692</v>
      </c>
      <c r="I42" s="161">
        <v>-2936</v>
      </c>
      <c r="J42" s="197">
        <v>-2936</v>
      </c>
      <c r="K42" s="164">
        <f t="shared" si="2"/>
        <v>-214756</v>
      </c>
      <c r="L42" s="164">
        <f t="shared" si="3"/>
        <v>73.14577656675749</v>
      </c>
    </row>
    <row r="43" spans="1:13" x14ac:dyDescent="0.2">
      <c r="A43" s="150" t="s">
        <v>979</v>
      </c>
      <c r="B43" s="270"/>
      <c r="C43" s="158" t="s">
        <v>980</v>
      </c>
      <c r="D43" s="159"/>
      <c r="E43" s="159"/>
      <c r="F43" s="159"/>
      <c r="G43" s="160"/>
      <c r="H43" s="161">
        <v>0</v>
      </c>
      <c r="I43" s="161">
        <v>15000</v>
      </c>
      <c r="J43" s="197">
        <v>15000</v>
      </c>
      <c r="K43" s="164">
        <f t="shared" si="2"/>
        <v>-15000</v>
      </c>
      <c r="L43" s="164">
        <f t="shared" si="3"/>
        <v>10</v>
      </c>
      <c r="M43" s="129" t="s">
        <v>981</v>
      </c>
    </row>
    <row r="44" spans="1:13" x14ac:dyDescent="0.2">
      <c r="A44" s="150" t="s">
        <v>982</v>
      </c>
      <c r="B44" s="270"/>
      <c r="C44" s="158" t="s">
        <v>163</v>
      </c>
      <c r="D44" s="159"/>
      <c r="E44" s="159"/>
      <c r="F44" s="159"/>
      <c r="G44" s="160"/>
      <c r="H44" s="161">
        <v>-1055</v>
      </c>
      <c r="I44" s="161">
        <v>0</v>
      </c>
      <c r="J44" s="197">
        <v>0</v>
      </c>
      <c r="K44" s="164">
        <f t="shared" si="2"/>
        <v>-1055</v>
      </c>
      <c r="L44" s="164">
        <f t="shared" si="3"/>
        <v>10</v>
      </c>
      <c r="M44" s="268" t="s">
        <v>1676</v>
      </c>
    </row>
    <row r="45" spans="1:13" x14ac:dyDescent="0.2">
      <c r="A45" s="150" t="s">
        <v>983</v>
      </c>
      <c r="B45" s="169" t="s">
        <v>984</v>
      </c>
      <c r="C45" s="227"/>
      <c r="D45" s="227"/>
      <c r="E45" s="227"/>
      <c r="F45" s="227"/>
      <c r="G45" s="228"/>
      <c r="H45" s="172">
        <f>SUM(H34:H44)</f>
        <v>-262666</v>
      </c>
      <c r="I45" s="172">
        <f>SUM(I34:I44)</f>
        <v>-123149</v>
      </c>
      <c r="J45" s="224">
        <f>SUM(J34:J44)</f>
        <v>-123149</v>
      </c>
      <c r="K45" s="164">
        <f t="shared" si="2"/>
        <v>-139517</v>
      </c>
      <c r="L45" s="164">
        <f t="shared" si="3"/>
        <v>1.1329121633143591</v>
      </c>
    </row>
    <row r="46" spans="1:13" customFormat="1" ht="29.65" customHeight="1" x14ac:dyDescent="0.25">
      <c r="A46" s="150" t="s">
        <v>985</v>
      </c>
      <c r="B46" s="270"/>
      <c r="C46" s="158" t="s">
        <v>986</v>
      </c>
      <c r="D46" s="159"/>
      <c r="E46" s="159"/>
      <c r="F46" s="159"/>
      <c r="G46" s="160"/>
      <c r="H46" s="161">
        <v>17336</v>
      </c>
      <c r="I46" s="161">
        <v>0</v>
      </c>
      <c r="J46" s="197">
        <v>0</v>
      </c>
      <c r="K46" s="164">
        <f t="shared" si="2"/>
        <v>17336</v>
      </c>
      <c r="L46" s="164">
        <f t="shared" si="3"/>
        <v>10</v>
      </c>
      <c r="M46" s="269" t="s">
        <v>987</v>
      </c>
    </row>
    <row r="47" spans="1:13" x14ac:dyDescent="0.2">
      <c r="A47" s="150"/>
      <c r="B47" s="174"/>
      <c r="C47" s="175"/>
      <c r="D47" s="175"/>
      <c r="E47" s="175"/>
      <c r="F47" s="175"/>
      <c r="G47" s="176"/>
      <c r="H47" s="271"/>
      <c r="I47" s="271"/>
      <c r="J47" s="271"/>
      <c r="K47" s="164"/>
      <c r="L47" s="164"/>
    </row>
    <row r="48" spans="1:13" x14ac:dyDescent="0.2">
      <c r="A48" s="150">
        <v>6</v>
      </c>
      <c r="B48" s="151" t="s">
        <v>988</v>
      </c>
      <c r="C48" s="152"/>
      <c r="D48" s="152"/>
      <c r="E48" s="152"/>
      <c r="F48" s="152"/>
      <c r="G48" s="153"/>
      <c r="H48" s="178"/>
      <c r="I48" s="178"/>
      <c r="J48" s="178"/>
      <c r="K48" s="164"/>
      <c r="L48" s="164"/>
    </row>
    <row r="49" spans="1:13" x14ac:dyDescent="0.2">
      <c r="A49" s="150" t="s">
        <v>989</v>
      </c>
      <c r="B49" s="270"/>
      <c r="C49" s="158" t="s">
        <v>990</v>
      </c>
      <c r="D49" s="159"/>
      <c r="E49" s="159"/>
      <c r="F49" s="159"/>
      <c r="G49" s="160"/>
      <c r="H49" s="161">
        <v>-27607</v>
      </c>
      <c r="I49" s="161">
        <v>-10788</v>
      </c>
      <c r="J49" s="197">
        <v>0</v>
      </c>
      <c r="K49" s="164">
        <f t="shared" ref="K49:K57" si="4">H49-I49</f>
        <v>-16819</v>
      </c>
      <c r="L49" s="164">
        <f t="shared" ref="L49:L57" si="5">IF(AND(OR(H49=0,I49&lt;&gt;0),OR(I49=0,H49&lt;&gt;0)),IF((H49+I49+K49&lt;&gt;0),IF(AND(OR(H49&gt;0,I49&lt;0),OR(I49&gt;0,H49&lt;0)),ABS(K49/MIN(ABS(I49),ABS(H49))),10),"-"),10)</f>
        <v>1.5590470893585466</v>
      </c>
    </row>
    <row r="50" spans="1:13" x14ac:dyDescent="0.2">
      <c r="A50" s="150" t="s">
        <v>991</v>
      </c>
      <c r="B50" s="270"/>
      <c r="C50" s="158" t="s">
        <v>992</v>
      </c>
      <c r="D50" s="159"/>
      <c r="E50" s="159"/>
      <c r="F50" s="159"/>
      <c r="G50" s="160"/>
      <c r="H50" s="161">
        <v>-74</v>
      </c>
      <c r="I50" s="161">
        <v>-93</v>
      </c>
      <c r="J50" s="197">
        <v>-10788</v>
      </c>
      <c r="K50" s="164">
        <f t="shared" si="4"/>
        <v>19</v>
      </c>
      <c r="L50" s="164">
        <f t="shared" si="5"/>
        <v>0.25675675675675674</v>
      </c>
    </row>
    <row r="51" spans="1:13" x14ac:dyDescent="0.2">
      <c r="A51" s="150" t="s">
        <v>993</v>
      </c>
      <c r="B51" s="270"/>
      <c r="C51" s="158" t="s">
        <v>994</v>
      </c>
      <c r="D51" s="159"/>
      <c r="E51" s="159"/>
      <c r="F51" s="159"/>
      <c r="G51" s="160"/>
      <c r="H51" s="161">
        <v>8034</v>
      </c>
      <c r="I51" s="161">
        <v>1394</v>
      </c>
      <c r="J51" s="197">
        <v>-93</v>
      </c>
      <c r="K51" s="164">
        <f t="shared" si="4"/>
        <v>6640</v>
      </c>
      <c r="L51" s="164">
        <f t="shared" si="5"/>
        <v>4.7632711621233863</v>
      </c>
    </row>
    <row r="52" spans="1:13" x14ac:dyDescent="0.2">
      <c r="A52" s="150" t="s">
        <v>995</v>
      </c>
      <c r="B52" s="270"/>
      <c r="C52" s="158" t="s">
        <v>996</v>
      </c>
      <c r="D52" s="159"/>
      <c r="E52" s="159"/>
      <c r="F52" s="159"/>
      <c r="G52" s="160"/>
      <c r="H52" s="161">
        <v>0</v>
      </c>
      <c r="I52" s="161">
        <v>0</v>
      </c>
      <c r="J52" s="197">
        <v>1394</v>
      </c>
      <c r="K52" s="164">
        <f t="shared" si="4"/>
        <v>0</v>
      </c>
      <c r="L52" s="164" t="str">
        <f t="shared" si="5"/>
        <v>-</v>
      </c>
    </row>
    <row r="53" spans="1:13" x14ac:dyDescent="0.2">
      <c r="A53" s="150" t="s">
        <v>997</v>
      </c>
      <c r="B53" s="270"/>
      <c r="C53" s="158" t="s">
        <v>998</v>
      </c>
      <c r="D53" s="159"/>
      <c r="E53" s="159"/>
      <c r="F53" s="159"/>
      <c r="G53" s="160"/>
      <c r="H53" s="161">
        <v>260783</v>
      </c>
      <c r="I53" s="161">
        <v>66700</v>
      </c>
      <c r="J53" s="197">
        <v>0</v>
      </c>
      <c r="K53" s="164">
        <f t="shared" si="4"/>
        <v>194083</v>
      </c>
      <c r="L53" s="164">
        <f t="shared" si="5"/>
        <v>2.9097901049475263</v>
      </c>
    </row>
    <row r="54" spans="1:13" x14ac:dyDescent="0.2">
      <c r="A54" s="150" t="s">
        <v>999</v>
      </c>
      <c r="B54" s="270"/>
      <c r="C54" s="158" t="s">
        <v>1000</v>
      </c>
      <c r="D54" s="159"/>
      <c r="E54" s="159"/>
      <c r="F54" s="159"/>
      <c r="G54" s="160"/>
      <c r="H54" s="161">
        <v>-39378</v>
      </c>
      <c r="I54" s="161">
        <v>-3177</v>
      </c>
      <c r="J54" s="197">
        <v>66700</v>
      </c>
      <c r="K54" s="164">
        <f t="shared" si="4"/>
        <v>-36201</v>
      </c>
      <c r="L54" s="164">
        <f t="shared" si="5"/>
        <v>11.394711992445703</v>
      </c>
    </row>
    <row r="55" spans="1:13" x14ac:dyDescent="0.2">
      <c r="A55" s="150" t="s">
        <v>1001</v>
      </c>
      <c r="B55" s="270"/>
      <c r="C55" s="158" t="s">
        <v>1002</v>
      </c>
      <c r="D55" s="159"/>
      <c r="E55" s="159"/>
      <c r="F55" s="159"/>
      <c r="G55" s="160"/>
      <c r="H55" s="161">
        <v>234</v>
      </c>
      <c r="I55" s="161">
        <v>-224</v>
      </c>
      <c r="J55" s="197">
        <v>-3177</v>
      </c>
      <c r="K55" s="164">
        <f t="shared" si="4"/>
        <v>458</v>
      </c>
      <c r="L55" s="164">
        <f t="shared" si="5"/>
        <v>10</v>
      </c>
      <c r="M55" s="129" t="s">
        <v>1003</v>
      </c>
    </row>
    <row r="56" spans="1:13" x14ac:dyDescent="0.2">
      <c r="A56" s="150" t="s">
        <v>1004</v>
      </c>
      <c r="B56" s="270"/>
      <c r="C56" s="158" t="s">
        <v>163</v>
      </c>
      <c r="D56" s="159"/>
      <c r="E56" s="159"/>
      <c r="F56" s="159"/>
      <c r="G56" s="160"/>
      <c r="H56" s="161">
        <v>0</v>
      </c>
      <c r="I56" s="161">
        <v>0</v>
      </c>
      <c r="J56" s="197">
        <v>-224</v>
      </c>
      <c r="K56" s="164">
        <f t="shared" si="4"/>
        <v>0</v>
      </c>
      <c r="L56" s="164" t="str">
        <f t="shared" si="5"/>
        <v>-</v>
      </c>
      <c r="M56" s="268"/>
    </row>
    <row r="57" spans="1:13" x14ac:dyDescent="0.2">
      <c r="A57" s="150" t="s">
        <v>1005</v>
      </c>
      <c r="B57" s="169" t="s">
        <v>1006</v>
      </c>
      <c r="C57" s="227"/>
      <c r="D57" s="227"/>
      <c r="E57" s="227"/>
      <c r="F57" s="227"/>
      <c r="G57" s="228"/>
      <c r="H57" s="172">
        <f>SUM(H49:H56)</f>
        <v>201992</v>
      </c>
      <c r="I57" s="172">
        <f>SUM(I49:I56)</f>
        <v>53812</v>
      </c>
      <c r="J57" s="224">
        <f>SUM(J49:J56)</f>
        <v>53812</v>
      </c>
      <c r="K57" s="164">
        <f t="shared" si="4"/>
        <v>148180</v>
      </c>
      <c r="L57" s="164">
        <f t="shared" si="5"/>
        <v>2.7536608934810078</v>
      </c>
    </row>
    <row r="58" spans="1:13" x14ac:dyDescent="0.2">
      <c r="A58" s="150"/>
      <c r="B58" s="174"/>
      <c r="C58" s="175"/>
      <c r="D58" s="175"/>
      <c r="E58" s="175"/>
      <c r="F58" s="175"/>
      <c r="G58" s="176"/>
      <c r="H58" s="177"/>
      <c r="I58" s="177"/>
      <c r="J58" s="177"/>
      <c r="K58" s="164"/>
      <c r="L58" s="164"/>
    </row>
    <row r="59" spans="1:13" x14ac:dyDescent="0.2">
      <c r="A59" s="150">
        <v>7</v>
      </c>
      <c r="B59" s="169" t="s">
        <v>1007</v>
      </c>
      <c r="C59" s="227"/>
      <c r="D59" s="227"/>
      <c r="E59" s="227"/>
      <c r="F59" s="227"/>
      <c r="G59" s="228"/>
      <c r="H59" s="172">
        <f>H31+H45+H57</f>
        <v>2414</v>
      </c>
      <c r="I59" s="172">
        <f>I31+I45+I57</f>
        <v>-14126</v>
      </c>
      <c r="J59" s="224">
        <f>J31+J45+J57</f>
        <v>-14126</v>
      </c>
      <c r="K59" s="164">
        <f>H59-I59</f>
        <v>16540</v>
      </c>
      <c r="L59" s="164">
        <f>IF(AND(OR(H59=0,I59&lt;&gt;0),OR(I59=0,H59&lt;&gt;0)),IF((H59+I59+K59&lt;&gt;0),IF(AND(OR(H59&gt;0,I59&lt;0),OR(I59&gt;0,H59&lt;0)),ABS(K59/MIN(ABS(I59),ABS(H59))),10),"-"),10)</f>
        <v>10</v>
      </c>
    </row>
    <row r="60" spans="1:13" x14ac:dyDescent="0.2">
      <c r="A60" s="150"/>
      <c r="B60" s="272"/>
      <c r="C60" s="159"/>
      <c r="D60" s="159"/>
      <c r="E60" s="159"/>
      <c r="F60" s="273"/>
      <c r="G60" s="219"/>
      <c r="H60" s="274"/>
      <c r="I60" s="274"/>
      <c r="J60" s="274"/>
      <c r="K60" s="164"/>
      <c r="L60" s="164"/>
    </row>
    <row r="61" spans="1:13" x14ac:dyDescent="0.2">
      <c r="A61" s="150">
        <v>8</v>
      </c>
      <c r="B61" s="169" t="s">
        <v>1008</v>
      </c>
      <c r="C61" s="227"/>
      <c r="D61" s="227"/>
      <c r="E61" s="227"/>
      <c r="F61" s="227"/>
      <c r="G61" s="228"/>
      <c r="H61" s="275">
        <f>I62</f>
        <v>236081</v>
      </c>
      <c r="I61" s="276">
        <v>250207</v>
      </c>
      <c r="J61" s="277">
        <v>250207</v>
      </c>
      <c r="K61" s="164">
        <f>H61-I61</f>
        <v>-14126</v>
      </c>
      <c r="L61" s="164">
        <f>IF(AND(OR(H61=0,I61&lt;&gt;0),OR(I61=0,H61&lt;&gt;0)),IF((H61+I61+K61&lt;&gt;0),IF(AND(OR(H61&gt;0,I61&lt;0),OR(I61&gt;0,H61&lt;0)),ABS(K61/MIN(ABS(I61),ABS(H61))),10),"-"),10)</f>
        <v>5.9835395478670457E-2</v>
      </c>
    </row>
    <row r="62" spans="1:13" x14ac:dyDescent="0.2">
      <c r="A62" s="150">
        <v>9</v>
      </c>
      <c r="B62" s="169" t="s">
        <v>1009</v>
      </c>
      <c r="C62" s="227"/>
      <c r="D62" s="227"/>
      <c r="E62" s="227"/>
      <c r="F62" s="227"/>
      <c r="G62" s="228"/>
      <c r="H62" s="275">
        <f>H61+H59</f>
        <v>238495</v>
      </c>
      <c r="I62" s="275">
        <f>I61+I59</f>
        <v>236081</v>
      </c>
      <c r="J62" s="277">
        <f>J61+J59</f>
        <v>236081</v>
      </c>
      <c r="K62" s="164">
        <f>H62-I62</f>
        <v>2414</v>
      </c>
      <c r="L62" s="164">
        <f>IF(AND(OR(H62=0,I62&lt;&gt;0),OR(I62=0,H62&lt;&gt;0)),IF((H62+I62+K62&lt;&gt;0),IF(AND(OR(H62&gt;0,I62&lt;0),OR(I62&gt;0,H62&lt;0)),ABS(K62/MIN(ABS(I62),ABS(H62))),10),"-"),10)</f>
        <v>1.022530402700768E-2</v>
      </c>
    </row>
  </sheetData>
  <sheetProtection algorithmName="SHA-512" hashValue="Lz172wwvYyPaBSXqfbqeLxEJRId5yr5Lm+aD3r0zH6mI1nfIrHdnjZH3HHuQMMVPQQfvvyJERHKd3TRXoZUu2w==" saltValue="kzOIMHafw/GIN3IzTJVz6A==" spinCount="100000" sheet="1" objects="1" scenarios="1"/>
  <mergeCells count="2">
    <mergeCell ref="B1:C1"/>
    <mergeCell ref="B2:C2"/>
  </mergeCells>
  <conditionalFormatting sqref="I6">
    <cfRule type="expression" dxfId="107" priority="1">
      <formula>I6&lt;&gt;J6</formula>
    </cfRule>
  </conditionalFormatting>
  <conditionalFormatting sqref="I44">
    <cfRule type="expression" dxfId="106" priority="2">
      <formula>I6&lt;&gt;J6</formula>
    </cfRule>
  </conditionalFormatting>
  <conditionalFormatting sqref="I46">
    <cfRule type="expression" dxfId="105" priority="3">
      <formula>I6&lt;&gt;J6</formula>
    </cfRule>
  </conditionalFormatting>
  <conditionalFormatting sqref="I9">
    <cfRule type="expression" dxfId="104" priority="4">
      <formula>I9&lt;&gt;J9</formula>
    </cfRule>
  </conditionalFormatting>
  <conditionalFormatting sqref="I10">
    <cfRule type="expression" dxfId="103" priority="5">
      <formula>I10&lt;&gt;J10</formula>
    </cfRule>
  </conditionalFormatting>
  <conditionalFormatting sqref="I11">
    <cfRule type="expression" dxfId="102" priority="6">
      <formula>I11&lt;&gt;J11</formula>
    </cfRule>
  </conditionalFormatting>
  <conditionalFormatting sqref="I12">
    <cfRule type="expression" dxfId="101" priority="7">
      <formula>I12&lt;&gt;J12</formula>
    </cfRule>
  </conditionalFormatting>
  <conditionalFormatting sqref="I13">
    <cfRule type="expression" dxfId="100" priority="8">
      <formula>I13&lt;&gt;J13</formula>
    </cfRule>
  </conditionalFormatting>
  <conditionalFormatting sqref="I14">
    <cfRule type="expression" dxfId="99" priority="9">
      <formula>I14&lt;&gt;J14</formula>
    </cfRule>
  </conditionalFormatting>
  <conditionalFormatting sqref="I15">
    <cfRule type="expression" dxfId="98" priority="10">
      <formula>I15&lt;&gt;J15</formula>
    </cfRule>
  </conditionalFormatting>
  <conditionalFormatting sqref="I16">
    <cfRule type="expression" dxfId="97" priority="11">
      <formula>I16&lt;&gt;J16</formula>
    </cfRule>
  </conditionalFormatting>
  <conditionalFormatting sqref="I17">
    <cfRule type="expression" dxfId="96" priority="12">
      <formula>I17&lt;&gt;J17</formula>
    </cfRule>
  </conditionalFormatting>
  <conditionalFormatting sqref="I18">
    <cfRule type="expression" dxfId="95" priority="13">
      <formula>I18&lt;&gt;J18</formula>
    </cfRule>
  </conditionalFormatting>
  <conditionalFormatting sqref="I19">
    <cfRule type="expression" dxfId="94" priority="14">
      <formula>I19&lt;&gt;J19</formula>
    </cfRule>
  </conditionalFormatting>
  <conditionalFormatting sqref="I20">
    <cfRule type="expression" dxfId="93" priority="15">
      <formula>I20&lt;&gt;J20</formula>
    </cfRule>
  </conditionalFormatting>
  <conditionalFormatting sqref="I21">
    <cfRule type="expression" dxfId="92" priority="16">
      <formula>I21&lt;&gt;J21</formula>
    </cfRule>
  </conditionalFormatting>
  <conditionalFormatting sqref="I22">
    <cfRule type="expression" dxfId="91" priority="17">
      <formula>I22&lt;&gt;J22</formula>
    </cfRule>
  </conditionalFormatting>
  <conditionalFormatting sqref="I25">
    <cfRule type="expression" dxfId="90" priority="18">
      <formula>I25&lt;&gt;J25</formula>
    </cfRule>
  </conditionalFormatting>
  <conditionalFormatting sqref="I26">
    <cfRule type="expression" dxfId="89" priority="19">
      <formula>I26&lt;&gt;J26</formula>
    </cfRule>
  </conditionalFormatting>
  <conditionalFormatting sqref="I27">
    <cfRule type="expression" dxfId="88" priority="20">
      <formula>I27&lt;&gt;J27</formula>
    </cfRule>
  </conditionalFormatting>
  <conditionalFormatting sqref="I28">
    <cfRule type="expression" dxfId="87" priority="21">
      <formula>I28&lt;&gt;J28</formula>
    </cfRule>
  </conditionalFormatting>
  <conditionalFormatting sqref="I29">
    <cfRule type="expression" dxfId="86" priority="22">
      <formula>I29&lt;&gt;J29</formula>
    </cfRule>
  </conditionalFormatting>
  <conditionalFormatting sqref="I34">
    <cfRule type="expression" dxfId="85" priority="23">
      <formula>I34&lt;&gt;J34</formula>
    </cfRule>
  </conditionalFormatting>
  <conditionalFormatting sqref="I35">
    <cfRule type="expression" dxfId="84" priority="24">
      <formula>I35&lt;&gt;J35</formula>
    </cfRule>
  </conditionalFormatting>
  <conditionalFormatting sqref="I36">
    <cfRule type="expression" dxfId="83" priority="25">
      <formula>I36&lt;&gt;J36</formula>
    </cfRule>
  </conditionalFormatting>
  <conditionalFormatting sqref="I37">
    <cfRule type="expression" dxfId="82" priority="26">
      <formula>I37&lt;&gt;J37</formula>
    </cfRule>
  </conditionalFormatting>
  <conditionalFormatting sqref="I38">
    <cfRule type="expression" dxfId="81" priority="27">
      <formula>I38&lt;&gt;J38</formula>
    </cfRule>
  </conditionalFormatting>
  <conditionalFormatting sqref="I39">
    <cfRule type="expression" dxfId="80" priority="28">
      <formula>I39&lt;&gt;J39</formula>
    </cfRule>
  </conditionalFormatting>
  <conditionalFormatting sqref="I40">
    <cfRule type="expression" dxfId="79" priority="29">
      <formula>I40&lt;&gt;J40</formula>
    </cfRule>
  </conditionalFormatting>
  <conditionalFormatting sqref="I41">
    <cfRule type="expression" dxfId="78" priority="30">
      <formula>I41&lt;&gt;J41</formula>
    </cfRule>
  </conditionalFormatting>
  <conditionalFormatting sqref="I42">
    <cfRule type="expression" dxfId="77" priority="31">
      <formula>I42&lt;&gt;J42</formula>
    </cfRule>
  </conditionalFormatting>
  <conditionalFormatting sqref="I43">
    <cfRule type="expression" dxfId="76" priority="32">
      <formula>I43&lt;&gt;J43</formula>
    </cfRule>
  </conditionalFormatting>
  <conditionalFormatting sqref="I49">
    <cfRule type="expression" dxfId="75" priority="33">
      <formula>I49&lt;&gt;J49</formula>
    </cfRule>
  </conditionalFormatting>
  <conditionalFormatting sqref="I50">
    <cfRule type="expression" dxfId="74" priority="34">
      <formula>I50&lt;&gt;J50</formula>
    </cfRule>
  </conditionalFormatting>
  <conditionalFormatting sqref="I51">
    <cfRule type="expression" dxfId="73" priority="35">
      <formula>I51&lt;&gt;J51</formula>
    </cfRule>
  </conditionalFormatting>
  <conditionalFormatting sqref="I52">
    <cfRule type="expression" dxfId="72" priority="36">
      <formula>I52&lt;&gt;J52</formula>
    </cfRule>
  </conditionalFormatting>
  <conditionalFormatting sqref="I53">
    <cfRule type="expression" dxfId="71" priority="37">
      <formula>I53&lt;&gt;J53</formula>
    </cfRule>
  </conditionalFormatting>
  <conditionalFormatting sqref="I54">
    <cfRule type="expression" dxfId="70" priority="38">
      <formula>I54&lt;&gt;J54</formula>
    </cfRule>
  </conditionalFormatting>
  <conditionalFormatting sqref="I55">
    <cfRule type="expression" dxfId="69" priority="39">
      <formula>I55&lt;&gt;J55</formula>
    </cfRule>
  </conditionalFormatting>
  <conditionalFormatting sqref="I56">
    <cfRule type="expression" dxfId="68" priority="40">
      <formula>I56&lt;&gt;J56</formula>
    </cfRule>
  </conditionalFormatting>
  <conditionalFormatting sqref="I61">
    <cfRule type="expression" dxfId="67" priority="41">
      <formula>I61&lt;&gt;J61</formula>
    </cfRule>
  </conditionalFormatting>
  <dataValidations count="25">
    <dataValidation type="textLength" allowBlank="1" showInputMessage="1" showErrorMessage="1" errorTitle="Maximum 255 text characters" error="Only text up to 255 characters is allowed here." promptTitle="Maximum 255 text characters" prompt=" " sqref="M22">
      <formula1>0</formula1>
      <formula2>255</formula2>
    </dataValidation>
    <dataValidation type="textLength" allowBlank="1" showInputMessage="1" showErrorMessage="1" errorTitle="Maximum 255 text characters" error="Only text up to 255 characters is allowed here." promptTitle="Maximum 255 text characters" prompt=" " sqref="M44">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N22)." sqref="J22">
      <formula1>-999999999</formula1>
    </dataValidation>
    <dataValidation type="whole" operator="greaterThan" allowBlank="1" showInputMessage="1" showErrorMessage="1" errorTitle="Whole numbers only allowed" error="All monies should be independently rounded to the nearest £1,000." sqref="H52:H55">
      <formula1>-99999999</formula1>
    </dataValidation>
    <dataValidation type="whole" operator="greaterThan" allowBlank="1" showInputMessage="1" showErrorMessage="1" errorTitle="Whole numbers only allowed" error="All monies should be independently rounded to the nearest £1,000." sqref="I61:J61">
      <formula1>-99999999</formula1>
    </dataValidation>
    <dataValidation type="whole" operator="greaterThan" allowBlank="1" showInputMessage="1" showErrorMessage="1" errorTitle="Whole numbers only allowed" error="All monies should be independently rounded to the nearest £1,000." sqref="H26">
      <formula1>-99999999</formula1>
    </dataValidation>
    <dataValidation type="whole" operator="greaterThan" allowBlank="1" showInputMessage="1" showErrorMessage="1" errorTitle="Whole numbers only allowed" error="All monies should be independently rounded to the nearest £1,000." sqref="I25:J29">
      <formula1>-99999999</formula1>
    </dataValidation>
    <dataValidation type="whole" operator="greaterThan" allowBlank="1" showInputMessage="1" showErrorMessage="1" errorTitle="Whole numbers only allowed" error="All monies should be independently rounded to the nearest £1,000." sqref="H28:H29">
      <formula1>-99999999</formula1>
    </dataValidation>
    <dataValidation type="whole" operator="greaterThan" allowBlank="1" showInputMessage="1" showErrorMessage="1" errorTitle="Whole numbers only allowed" error="All monies should be independently rounded to the nearest £1,000." sqref="I52:J56">
      <formula1>-99999999</formula1>
    </dataValidation>
    <dataValidation type="whole" operator="greaterThan" allowBlank="1" showInputMessage="1" showErrorMessage="1" errorTitle="Whole numbers only allowed" error="All monies should be independently rounded to the nearest £1,000." sqref="J10:J12">
      <formula1>-99999999</formula1>
    </dataValidation>
    <dataValidation type="whole" operator="greaterThan" allowBlank="1" showInputMessage="1" showErrorMessage="1" errorTitle="Whole numbers only allowed" error="All monies should be independently rounded to the nearest £1,000." sqref="I6">
      <formula1>-99999999</formula1>
    </dataValidation>
    <dataValidation type="whole" operator="greaterThan" allowBlank="1" showInputMessage="1" showErrorMessage="1" errorTitle="Whole numbers only allowed" error="All monies should be independently rounded to the nearest £1,000." sqref="H9:H12">
      <formula1>-99999999</formula1>
    </dataValidation>
    <dataValidation type="whole" operator="greaterThan" allowBlank="1" showInputMessage="1" showErrorMessage="1" errorTitle="Whole numbers only allowed" error="All monies should be independently rounded to the nearest £1,000." sqref="J14:J19">
      <formula1>-99999999</formula1>
    </dataValidation>
    <dataValidation type="whole" operator="greaterThan" allowBlank="1" showInputMessage="1" showErrorMessage="1" errorTitle="Whole numbers only allowed" error="All monies should be independently rounded to the nearest £1,000." sqref="H14:H19">
      <formula1>-99999999</formula1>
    </dataValidation>
    <dataValidation type="whole" operator="greaterThan" allowBlank="1" showInputMessage="1" showErrorMessage="1" errorTitle="Whole numbers only allowed" error="All monies should be independently rounded to the nearest £1,000." sqref="I9:I21">
      <formula1>-99999999</formula1>
    </dataValidation>
    <dataValidation type="whole" operator="greaterThan" allowBlank="1" showInputMessage="1" showErrorMessage="1" errorTitle="Whole numbers only allowed" error="All monies should be independently rounded to the nearest £1,000." sqref="J49:J50">
      <formula1>-99999999</formula1>
    </dataValidation>
    <dataValidation type="whole" operator="greaterThan" allowBlank="1" showInputMessage="1" showErrorMessage="1" errorTitle="Whole numbers only allowed" error="All monies should be independently rounded to the nearest £1,000." sqref="H49:I51">
      <formula1>-99999999</formula1>
    </dataValidation>
    <dataValidation type="whole" operator="greaterThan" allowBlank="1" showInputMessage="1" showErrorMessage="1" errorTitle="Whole numbers only allowed" error="All monies should be independently rounded to the nearest £1,000." sqref="H46:J46">
      <formula1>-99999999</formula1>
    </dataValidation>
    <dataValidation type="whole" operator="greaterThan" allowBlank="1" showInputMessage="1" showErrorMessage="1" errorTitle="Whole numbers only allowed" error="All monies should be independently rounded to the nearest £1,000." sqref="H34:J43">
      <formula1>-99999999</formula1>
    </dataValidation>
    <dataValidation type="whole" operator="greaterThan" allowBlank="1" showInputMessage="1" showErrorMessage="1" errorTitle="Whole numbers only allowed" error="All monies should be independently rounded to the nearest £1,000." sqref="H44:J44">
      <formula1>-99999999</formula1>
    </dataValidation>
    <dataValidation type="whole" operator="lessThanOrEqual" allowBlank="1" showInputMessage="1" showErrorMessage="1" errorTitle="Negatives Numbers" error="All entered monies should be returned as negative and rounded to the nearest £1,000" promptTitle="If a value is entered here..." prompt="it must be a negative value" sqref="H25">
      <formula1>0</formula1>
    </dataValidation>
    <dataValidation type="whole" operator="greaterThan" allowBlank="1" showInputMessage="1" showErrorMessage="1" errorTitle="Whole numbers only allowed" error="All monies should be independently rounded to the nearest £1,000." sqref="H27">
      <formula1>-999999999</formula1>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right (cell M54)" sqref="H56">
      <formula1>-99999999</formula1>
    </dataValidation>
    <dataValidation type="textLength" operator="lessThan" allowBlank="1" showInputMessage="1" showErrorMessage="1" errorTitle="Maximum 255 text characters" error="Only text up to 255 characters is allowed here." promptTitle="Maximum 255 text characters" prompt=" " sqref="M56">
      <formula1>255</formula1>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M22)." sqref="H22:I22">
      <formula1>-999999999</formula1>
    </dataValidation>
  </dataValidations>
  <printOptions headings="1" gridLines="1"/>
  <pageMargins left="0.31496062992125984" right="0.31496062992125984" top="0.74803149606299213" bottom="0.74803149606299213" header="0.31496062992125984" footer="0.31496062992125984"/>
  <pageSetup paperSize="8"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65"/>
  <sheetViews>
    <sheetView zoomScale="90" zoomScaleNormal="90" workbookViewId="0">
      <pane xSplit="7" ySplit="4" topLeftCell="R25" activePane="bottomRight" state="frozenSplit"/>
      <selection activeCell="H1" sqref="H1 H1"/>
      <selection pane="topRight"/>
      <selection pane="bottomLeft"/>
      <selection pane="bottomRight" activeCell="R45" sqref="R45"/>
    </sheetView>
  </sheetViews>
  <sheetFormatPr defaultColWidth="9.140625" defaultRowHeight="12.75" x14ac:dyDescent="0.2"/>
  <cols>
    <col min="1" max="1" width="10.28515625" style="200" bestFit="1" customWidth="1"/>
    <col min="2" max="2" width="2.140625" style="129" customWidth="1"/>
    <col min="3" max="3" width="53.7109375" style="129" customWidth="1"/>
    <col min="4" max="7" width="3.140625" style="129" hidden="1" customWidth="1"/>
    <col min="8" max="16" width="14.42578125" style="129" customWidth="1"/>
    <col min="17" max="19" width="16.7109375" style="129" customWidth="1"/>
    <col min="20" max="21" width="19.42578125" style="129" customWidth="1"/>
    <col min="22" max="31" width="16.7109375" style="129" customWidth="1"/>
    <col min="32" max="32" width="9.140625" style="129" customWidth="1"/>
    <col min="33" max="16384" width="9.140625" style="129"/>
  </cols>
  <sheetData>
    <row r="1" spans="1:31" customFormat="1" ht="44.25" customHeight="1" x14ac:dyDescent="0.25">
      <c r="A1" s="278" t="s">
        <v>1010</v>
      </c>
      <c r="B1" s="622" t="s">
        <v>1011</v>
      </c>
      <c r="C1" s="622"/>
      <c r="D1" s="279"/>
      <c r="E1" s="279"/>
      <c r="F1" s="279"/>
      <c r="G1" s="279"/>
      <c r="H1" s="617" t="s">
        <v>1012</v>
      </c>
      <c r="I1" s="618"/>
      <c r="J1" s="618"/>
      <c r="K1" s="618"/>
      <c r="L1" s="618"/>
      <c r="M1" s="618"/>
      <c r="N1" s="618"/>
      <c r="O1" s="618"/>
      <c r="P1" s="618"/>
      <c r="Q1" s="619"/>
      <c r="R1" s="280">
        <v>2</v>
      </c>
      <c r="S1" s="280">
        <v>3</v>
      </c>
      <c r="T1" s="280">
        <v>4</v>
      </c>
      <c r="U1" s="280">
        <v>5</v>
      </c>
      <c r="V1" s="280">
        <v>6</v>
      </c>
      <c r="W1" s="280">
        <v>7</v>
      </c>
      <c r="X1" s="280">
        <v>8</v>
      </c>
      <c r="Y1" s="280">
        <v>9</v>
      </c>
      <c r="Z1" s="280">
        <v>10</v>
      </c>
      <c r="AA1" s="280">
        <v>11</v>
      </c>
      <c r="AB1" s="280">
        <v>12</v>
      </c>
      <c r="AC1" s="280">
        <v>13</v>
      </c>
      <c r="AD1" s="280">
        <v>14</v>
      </c>
      <c r="AE1" s="280">
        <v>15</v>
      </c>
    </row>
    <row r="2" spans="1:31" customFormat="1" ht="15.4" customHeight="1" x14ac:dyDescent="0.25">
      <c r="A2" s="281"/>
      <c r="B2" s="282"/>
      <c r="C2" s="282"/>
      <c r="D2" s="282"/>
      <c r="E2" s="282"/>
      <c r="F2" s="282"/>
      <c r="G2" s="283"/>
      <c r="H2" s="284" t="s">
        <v>789</v>
      </c>
      <c r="I2" s="284" t="s">
        <v>791</v>
      </c>
      <c r="J2" s="284" t="s">
        <v>793</v>
      </c>
      <c r="K2" s="284" t="s">
        <v>795</v>
      </c>
      <c r="L2" s="284" t="s">
        <v>797</v>
      </c>
      <c r="M2" s="284" t="s">
        <v>799</v>
      </c>
      <c r="N2" s="284" t="s">
        <v>801</v>
      </c>
      <c r="O2" s="284" t="s">
        <v>861</v>
      </c>
      <c r="P2" s="284" t="s">
        <v>863</v>
      </c>
      <c r="Q2" s="284" t="s">
        <v>865</v>
      </c>
      <c r="R2" s="285"/>
      <c r="S2" s="285"/>
      <c r="T2" s="285"/>
      <c r="U2" s="285"/>
      <c r="V2" s="285"/>
      <c r="W2" s="285"/>
      <c r="X2" s="285"/>
      <c r="Y2" s="285"/>
      <c r="Z2" s="285"/>
      <c r="AA2" s="285"/>
      <c r="AB2" s="285"/>
      <c r="AC2" s="285"/>
      <c r="AD2" s="285"/>
      <c r="AE2" s="285"/>
    </row>
    <row r="3" spans="1:31" customFormat="1" ht="94.35" customHeight="1" x14ac:dyDescent="0.25">
      <c r="A3" s="281"/>
      <c r="B3" s="282"/>
      <c r="C3" s="282"/>
      <c r="D3" s="282"/>
      <c r="E3" s="282"/>
      <c r="F3" s="282"/>
      <c r="G3" s="283"/>
      <c r="H3" s="286" t="s">
        <v>1013</v>
      </c>
      <c r="I3" s="286" t="s">
        <v>1014</v>
      </c>
      <c r="J3" s="286" t="s">
        <v>1015</v>
      </c>
      <c r="K3" s="286" t="s">
        <v>1016</v>
      </c>
      <c r="L3" s="286" t="s">
        <v>1017</v>
      </c>
      <c r="M3" s="286" t="s">
        <v>1018</v>
      </c>
      <c r="N3" s="286" t="s">
        <v>1019</v>
      </c>
      <c r="O3" s="286" t="s">
        <v>1020</v>
      </c>
      <c r="P3" s="286" t="s">
        <v>163</v>
      </c>
      <c r="Q3" s="287" t="s">
        <v>1021</v>
      </c>
      <c r="R3" s="288" t="s">
        <v>1022</v>
      </c>
      <c r="S3" s="288" t="s">
        <v>1023</v>
      </c>
      <c r="T3" s="288" t="s">
        <v>1024</v>
      </c>
      <c r="U3" s="288" t="s">
        <v>1025</v>
      </c>
      <c r="V3" s="288" t="s">
        <v>1026</v>
      </c>
      <c r="W3" s="288" t="s">
        <v>1027</v>
      </c>
      <c r="X3" s="288" t="s">
        <v>1028</v>
      </c>
      <c r="Y3" s="288" t="s">
        <v>1029</v>
      </c>
      <c r="Z3" s="288" t="s">
        <v>1030</v>
      </c>
      <c r="AA3" s="288" t="s">
        <v>1031</v>
      </c>
      <c r="AB3" s="288" t="s">
        <v>1032</v>
      </c>
      <c r="AC3" s="288" t="s">
        <v>1033</v>
      </c>
      <c r="AD3" s="288" t="s">
        <v>1034</v>
      </c>
      <c r="AE3" s="288" t="s">
        <v>844</v>
      </c>
    </row>
    <row r="4" spans="1:31" s="312" customFormat="1" ht="15.4" customHeight="1" x14ac:dyDescent="0.25">
      <c r="A4" s="281"/>
      <c r="B4" s="213"/>
      <c r="C4" s="213"/>
      <c r="D4" s="213"/>
      <c r="E4" s="213"/>
      <c r="F4" s="213"/>
      <c r="G4" s="214"/>
      <c r="H4" s="289" t="s">
        <v>784</v>
      </c>
      <c r="I4" s="289" t="s">
        <v>784</v>
      </c>
      <c r="J4" s="289" t="s">
        <v>784</v>
      </c>
      <c r="K4" s="289" t="s">
        <v>784</v>
      </c>
      <c r="L4" s="289" t="s">
        <v>784</v>
      </c>
      <c r="M4" s="289" t="s">
        <v>784</v>
      </c>
      <c r="N4" s="289" t="s">
        <v>784</v>
      </c>
      <c r="O4" s="289" t="s">
        <v>784</v>
      </c>
      <c r="P4" s="289" t="s">
        <v>784</v>
      </c>
      <c r="Q4" s="289" t="s">
        <v>784</v>
      </c>
      <c r="R4" s="289" t="s">
        <v>784</v>
      </c>
      <c r="S4" s="289" t="s">
        <v>784</v>
      </c>
      <c r="T4" s="289" t="s">
        <v>784</v>
      </c>
      <c r="U4" s="289" t="s">
        <v>784</v>
      </c>
      <c r="V4" s="289" t="s">
        <v>784</v>
      </c>
      <c r="W4" s="289" t="s">
        <v>784</v>
      </c>
      <c r="X4" s="289" t="s">
        <v>784</v>
      </c>
      <c r="Y4" s="289" t="s">
        <v>784</v>
      </c>
      <c r="Z4" s="289" t="s">
        <v>784</v>
      </c>
      <c r="AA4" s="289" t="s">
        <v>784</v>
      </c>
      <c r="AB4" s="289" t="s">
        <v>784</v>
      </c>
      <c r="AC4" s="289" t="s">
        <v>784</v>
      </c>
      <c r="AD4" s="289" t="s">
        <v>784</v>
      </c>
      <c r="AE4" s="289" t="s">
        <v>784</v>
      </c>
    </row>
    <row r="5" spans="1:31" customFormat="1" ht="12.75" customHeight="1" x14ac:dyDescent="0.25">
      <c r="A5" s="290">
        <v>1</v>
      </c>
      <c r="B5" s="291" t="s">
        <v>1035</v>
      </c>
      <c r="C5" s="292"/>
      <c r="D5" s="292"/>
      <c r="E5" s="292"/>
      <c r="F5" s="292"/>
      <c r="G5" s="293"/>
      <c r="H5" s="154"/>
      <c r="I5" s="154"/>
      <c r="J5" s="154"/>
      <c r="K5" s="154"/>
      <c r="L5" s="154"/>
      <c r="M5" s="154"/>
      <c r="N5" s="154"/>
      <c r="O5" s="154"/>
      <c r="P5" s="154"/>
      <c r="Q5" s="154"/>
      <c r="R5" s="154"/>
      <c r="S5" s="154"/>
      <c r="T5" s="154"/>
      <c r="U5" s="154"/>
      <c r="V5" s="154"/>
      <c r="W5" s="154"/>
      <c r="X5" s="154"/>
      <c r="Y5" s="154"/>
      <c r="Z5" s="154"/>
      <c r="AA5" s="154"/>
      <c r="AB5" s="154"/>
      <c r="AC5" s="154"/>
      <c r="AD5" s="154"/>
      <c r="AE5" s="154"/>
    </row>
    <row r="6" spans="1:31" customFormat="1" ht="12.75" customHeight="1" x14ac:dyDescent="0.25">
      <c r="A6" s="290" t="s">
        <v>789</v>
      </c>
      <c r="B6" s="294"/>
      <c r="C6" s="295" t="s">
        <v>1036</v>
      </c>
      <c r="D6" s="296"/>
      <c r="E6" s="296"/>
      <c r="F6" s="296"/>
      <c r="G6" s="297"/>
      <c r="H6" s="162">
        <v>1739</v>
      </c>
      <c r="I6" s="605">
        <v>26672</v>
      </c>
      <c r="J6" s="605">
        <v>108</v>
      </c>
      <c r="K6" s="605">
        <v>1247</v>
      </c>
      <c r="L6" s="605">
        <v>346</v>
      </c>
      <c r="M6" s="605">
        <v>0</v>
      </c>
      <c r="N6" s="605">
        <v>44</v>
      </c>
      <c r="O6" s="605">
        <v>0</v>
      </c>
      <c r="P6" s="605">
        <v>0</v>
      </c>
      <c r="Q6" s="299">
        <f t="shared" ref="Q6:Q50" si="0">SUM(H6:P6)</f>
        <v>30156</v>
      </c>
      <c r="R6" s="605">
        <v>35474</v>
      </c>
      <c r="S6" s="605">
        <v>77</v>
      </c>
      <c r="T6" s="605">
        <v>17894</v>
      </c>
      <c r="U6" s="605">
        <v>0</v>
      </c>
      <c r="V6" s="605">
        <v>2746</v>
      </c>
      <c r="W6" s="605">
        <v>2560</v>
      </c>
      <c r="X6" s="605">
        <v>8307</v>
      </c>
      <c r="Y6" s="605">
        <v>135</v>
      </c>
      <c r="Z6" s="605">
        <v>1673</v>
      </c>
      <c r="AA6" s="605">
        <v>244</v>
      </c>
      <c r="AB6" s="605">
        <v>1037</v>
      </c>
      <c r="AC6" s="605">
        <v>1237</v>
      </c>
      <c r="AD6" s="605">
        <v>3256</v>
      </c>
      <c r="AE6" s="299">
        <f t="shared" ref="AE6:AE50" si="1">SUM(Q6:AD6)</f>
        <v>104796</v>
      </c>
    </row>
    <row r="7" spans="1:31" customFormat="1" ht="12.75" customHeight="1" x14ac:dyDescent="0.25">
      <c r="A7" s="290" t="s">
        <v>791</v>
      </c>
      <c r="B7" s="294"/>
      <c r="C7" s="295" t="s">
        <v>1037</v>
      </c>
      <c r="D7" s="296"/>
      <c r="E7" s="296"/>
      <c r="F7" s="296"/>
      <c r="G7" s="297"/>
      <c r="H7" s="605">
        <v>24</v>
      </c>
      <c r="I7" s="605">
        <v>0</v>
      </c>
      <c r="J7" s="605">
        <v>0</v>
      </c>
      <c r="K7" s="605">
        <v>0</v>
      </c>
      <c r="L7" s="605">
        <v>0</v>
      </c>
      <c r="M7" s="605">
        <v>0</v>
      </c>
      <c r="N7" s="605">
        <v>0</v>
      </c>
      <c r="O7" s="605">
        <v>0</v>
      </c>
      <c r="P7" s="605">
        <v>0</v>
      </c>
      <c r="Q7" s="299">
        <f t="shared" si="0"/>
        <v>24</v>
      </c>
      <c r="R7" s="605">
        <v>0</v>
      </c>
      <c r="S7" s="605">
        <v>0</v>
      </c>
      <c r="T7" s="605">
        <v>1</v>
      </c>
      <c r="U7" s="605">
        <v>0</v>
      </c>
      <c r="V7" s="605">
        <v>4</v>
      </c>
      <c r="W7" s="605">
        <v>0</v>
      </c>
      <c r="X7" s="605">
        <v>0</v>
      </c>
      <c r="Y7" s="605">
        <v>0</v>
      </c>
      <c r="Z7" s="605">
        <v>0</v>
      </c>
      <c r="AA7" s="605">
        <v>0</v>
      </c>
      <c r="AB7" s="605">
        <v>0</v>
      </c>
      <c r="AC7" s="605">
        <v>0</v>
      </c>
      <c r="AD7" s="605">
        <v>0</v>
      </c>
      <c r="AE7" s="299">
        <f t="shared" si="1"/>
        <v>29</v>
      </c>
    </row>
    <row r="8" spans="1:31" customFormat="1" ht="12.75" customHeight="1" x14ac:dyDescent="0.25">
      <c r="A8" s="290" t="s">
        <v>793</v>
      </c>
      <c r="B8" s="294"/>
      <c r="C8" s="295" t="s">
        <v>1038</v>
      </c>
      <c r="D8" s="296"/>
      <c r="E8" s="296"/>
      <c r="F8" s="296"/>
      <c r="G8" s="297"/>
      <c r="H8" s="605">
        <v>0</v>
      </c>
      <c r="I8" s="605">
        <v>50</v>
      </c>
      <c r="J8" s="605">
        <v>0</v>
      </c>
      <c r="K8" s="605">
        <v>0</v>
      </c>
      <c r="L8" s="605">
        <v>0</v>
      </c>
      <c r="M8" s="605">
        <v>0</v>
      </c>
      <c r="N8" s="605">
        <v>0</v>
      </c>
      <c r="O8" s="605">
        <v>0</v>
      </c>
      <c r="P8" s="605">
        <v>0</v>
      </c>
      <c r="Q8" s="299">
        <f t="shared" si="0"/>
        <v>50</v>
      </c>
      <c r="R8" s="605">
        <v>165</v>
      </c>
      <c r="S8" s="605">
        <v>13</v>
      </c>
      <c r="T8" s="605">
        <v>369</v>
      </c>
      <c r="U8" s="605">
        <v>0</v>
      </c>
      <c r="V8" s="605">
        <v>7</v>
      </c>
      <c r="W8" s="605">
        <v>39</v>
      </c>
      <c r="X8" s="605">
        <v>0</v>
      </c>
      <c r="Y8" s="605">
        <v>0</v>
      </c>
      <c r="Z8" s="605">
        <v>0</v>
      </c>
      <c r="AA8" s="605">
        <v>0</v>
      </c>
      <c r="AB8" s="605">
        <v>0</v>
      </c>
      <c r="AC8" s="605">
        <v>0</v>
      </c>
      <c r="AD8" s="605">
        <v>0</v>
      </c>
      <c r="AE8" s="299">
        <f t="shared" si="1"/>
        <v>643</v>
      </c>
    </row>
    <row r="9" spans="1:31" customFormat="1" ht="12.75" customHeight="1" x14ac:dyDescent="0.25">
      <c r="A9" s="290" t="s">
        <v>795</v>
      </c>
      <c r="B9" s="294"/>
      <c r="C9" s="295" t="s">
        <v>1039</v>
      </c>
      <c r="D9" s="296"/>
      <c r="E9" s="296"/>
      <c r="F9" s="296"/>
      <c r="G9" s="297"/>
      <c r="H9" s="605">
        <v>0</v>
      </c>
      <c r="I9" s="605">
        <v>472</v>
      </c>
      <c r="J9" s="605">
        <v>0</v>
      </c>
      <c r="K9" s="605">
        <v>13</v>
      </c>
      <c r="L9" s="605">
        <v>617</v>
      </c>
      <c r="M9" s="605">
        <v>80</v>
      </c>
      <c r="N9" s="605">
        <v>0</v>
      </c>
      <c r="O9" s="605">
        <v>0</v>
      </c>
      <c r="P9" s="605">
        <v>22</v>
      </c>
      <c r="Q9" s="299">
        <f t="shared" si="0"/>
        <v>1204</v>
      </c>
      <c r="R9" s="605">
        <v>895</v>
      </c>
      <c r="S9" s="605">
        <v>1</v>
      </c>
      <c r="T9" s="605">
        <v>8</v>
      </c>
      <c r="U9" s="605">
        <v>0</v>
      </c>
      <c r="V9" s="605">
        <v>0</v>
      </c>
      <c r="W9" s="605">
        <v>139</v>
      </c>
      <c r="X9" s="605">
        <v>41</v>
      </c>
      <c r="Y9" s="605">
        <v>0</v>
      </c>
      <c r="Z9" s="605">
        <v>0</v>
      </c>
      <c r="AA9" s="605">
        <v>16</v>
      </c>
      <c r="AB9" s="605">
        <v>66</v>
      </c>
      <c r="AC9" s="605">
        <v>0</v>
      </c>
      <c r="AD9" s="605">
        <v>90</v>
      </c>
      <c r="AE9" s="299">
        <f t="shared" si="1"/>
        <v>2460</v>
      </c>
    </row>
    <row r="10" spans="1:31" customFormat="1" ht="12.75" customHeight="1" x14ac:dyDescent="0.25">
      <c r="A10" s="290" t="s">
        <v>797</v>
      </c>
      <c r="B10" s="294"/>
      <c r="C10" s="295" t="s">
        <v>1040</v>
      </c>
      <c r="D10" s="296"/>
      <c r="E10" s="296"/>
      <c r="F10" s="296"/>
      <c r="G10" s="297"/>
      <c r="H10" s="605">
        <v>0</v>
      </c>
      <c r="I10" s="605">
        <v>0</v>
      </c>
      <c r="J10" s="605">
        <v>0</v>
      </c>
      <c r="K10" s="605">
        <v>0</v>
      </c>
      <c r="L10" s="605">
        <v>0</v>
      </c>
      <c r="M10" s="605">
        <v>0</v>
      </c>
      <c r="N10" s="605">
        <v>0</v>
      </c>
      <c r="O10" s="605">
        <v>0</v>
      </c>
      <c r="P10" s="605">
        <v>0</v>
      </c>
      <c r="Q10" s="299">
        <f t="shared" si="0"/>
        <v>0</v>
      </c>
      <c r="R10" s="605">
        <v>0</v>
      </c>
      <c r="S10" s="605">
        <v>0</v>
      </c>
      <c r="T10" s="605">
        <v>0</v>
      </c>
      <c r="U10" s="605">
        <v>0</v>
      </c>
      <c r="V10" s="605">
        <v>0</v>
      </c>
      <c r="W10" s="605">
        <v>0</v>
      </c>
      <c r="X10" s="605">
        <v>0</v>
      </c>
      <c r="Y10" s="605">
        <v>0</v>
      </c>
      <c r="Z10" s="605">
        <v>0</v>
      </c>
      <c r="AA10" s="605">
        <v>0</v>
      </c>
      <c r="AB10" s="605">
        <v>0</v>
      </c>
      <c r="AC10" s="605">
        <v>0</v>
      </c>
      <c r="AD10" s="605">
        <v>0</v>
      </c>
      <c r="AE10" s="299">
        <f t="shared" si="1"/>
        <v>0</v>
      </c>
    </row>
    <row r="11" spans="1:31" customFormat="1" ht="12.75" customHeight="1" x14ac:dyDescent="0.25">
      <c r="A11" s="290" t="s">
        <v>799</v>
      </c>
      <c r="B11" s="294"/>
      <c r="C11" s="295" t="s">
        <v>1041</v>
      </c>
      <c r="D11" s="296"/>
      <c r="E11" s="296"/>
      <c r="F11" s="296"/>
      <c r="G11" s="297"/>
      <c r="H11" s="605">
        <v>0</v>
      </c>
      <c r="I11" s="605">
        <v>0</v>
      </c>
      <c r="J11" s="605">
        <v>0</v>
      </c>
      <c r="K11" s="605">
        <v>0</v>
      </c>
      <c r="L11" s="605">
        <v>0</v>
      </c>
      <c r="M11" s="605">
        <v>0</v>
      </c>
      <c r="N11" s="605">
        <v>0</v>
      </c>
      <c r="O11" s="605">
        <v>0</v>
      </c>
      <c r="P11" s="605">
        <v>0</v>
      </c>
      <c r="Q11" s="299">
        <f t="shared" si="0"/>
        <v>0</v>
      </c>
      <c r="R11" s="605">
        <v>0</v>
      </c>
      <c r="S11" s="605">
        <v>0</v>
      </c>
      <c r="T11" s="605">
        <v>0</v>
      </c>
      <c r="U11" s="605">
        <v>0</v>
      </c>
      <c r="V11" s="605">
        <v>0</v>
      </c>
      <c r="W11" s="605">
        <v>0</v>
      </c>
      <c r="X11" s="605">
        <v>0</v>
      </c>
      <c r="Y11" s="605">
        <v>0</v>
      </c>
      <c r="Z11" s="605">
        <v>0</v>
      </c>
      <c r="AA11" s="605">
        <v>0</v>
      </c>
      <c r="AB11" s="605">
        <v>0</v>
      </c>
      <c r="AC11" s="605">
        <v>0</v>
      </c>
      <c r="AD11" s="605">
        <v>0</v>
      </c>
      <c r="AE11" s="299">
        <f t="shared" si="1"/>
        <v>0</v>
      </c>
    </row>
    <row r="12" spans="1:31" customFormat="1" ht="12.75" customHeight="1" x14ac:dyDescent="0.25">
      <c r="A12" s="290" t="s">
        <v>801</v>
      </c>
      <c r="B12" s="294"/>
      <c r="C12" s="295" t="s">
        <v>1042</v>
      </c>
      <c r="D12" s="296"/>
      <c r="E12" s="296"/>
      <c r="F12" s="296"/>
      <c r="G12" s="297"/>
      <c r="H12" s="605">
        <v>0</v>
      </c>
      <c r="I12" s="605">
        <v>0</v>
      </c>
      <c r="J12" s="605">
        <v>0</v>
      </c>
      <c r="K12" s="605">
        <v>0</v>
      </c>
      <c r="L12" s="605">
        <v>0</v>
      </c>
      <c r="M12" s="605">
        <v>0</v>
      </c>
      <c r="N12" s="605">
        <v>0</v>
      </c>
      <c r="O12" s="605">
        <v>0</v>
      </c>
      <c r="P12" s="605">
        <v>0</v>
      </c>
      <c r="Q12" s="299">
        <f t="shared" si="0"/>
        <v>0</v>
      </c>
      <c r="R12" s="605">
        <v>0</v>
      </c>
      <c r="S12" s="605">
        <v>0</v>
      </c>
      <c r="T12" s="605">
        <v>0</v>
      </c>
      <c r="U12" s="605">
        <v>0</v>
      </c>
      <c r="V12" s="605">
        <v>0</v>
      </c>
      <c r="W12" s="605">
        <v>0</v>
      </c>
      <c r="X12" s="605">
        <v>0</v>
      </c>
      <c r="Y12" s="605">
        <v>0</v>
      </c>
      <c r="Z12" s="605">
        <v>0</v>
      </c>
      <c r="AA12" s="605">
        <v>0</v>
      </c>
      <c r="AB12" s="605">
        <v>0</v>
      </c>
      <c r="AC12" s="605">
        <v>0</v>
      </c>
      <c r="AD12" s="605">
        <v>0</v>
      </c>
      <c r="AE12" s="299">
        <f t="shared" si="1"/>
        <v>0</v>
      </c>
    </row>
    <row r="13" spans="1:31" customFormat="1" ht="12.75" customHeight="1" x14ac:dyDescent="0.25">
      <c r="A13" s="290" t="s">
        <v>861</v>
      </c>
      <c r="B13" s="294"/>
      <c r="C13" s="295" t="s">
        <v>1043</v>
      </c>
      <c r="D13" s="296"/>
      <c r="E13" s="296"/>
      <c r="F13" s="296"/>
      <c r="G13" s="297"/>
      <c r="H13" s="605">
        <v>0</v>
      </c>
      <c r="I13" s="605">
        <v>0</v>
      </c>
      <c r="J13" s="605">
        <v>0</v>
      </c>
      <c r="K13" s="605">
        <v>0</v>
      </c>
      <c r="L13" s="605">
        <v>0</v>
      </c>
      <c r="M13" s="605">
        <v>0</v>
      </c>
      <c r="N13" s="605">
        <v>0</v>
      </c>
      <c r="O13" s="605">
        <v>0</v>
      </c>
      <c r="P13" s="605">
        <v>0</v>
      </c>
      <c r="Q13" s="299">
        <f t="shared" si="0"/>
        <v>0</v>
      </c>
      <c r="R13" s="605">
        <v>0</v>
      </c>
      <c r="S13" s="605">
        <v>0</v>
      </c>
      <c r="T13" s="605">
        <v>0</v>
      </c>
      <c r="U13" s="605">
        <v>0</v>
      </c>
      <c r="V13" s="605">
        <v>0</v>
      </c>
      <c r="W13" s="605">
        <v>0</v>
      </c>
      <c r="X13" s="605">
        <v>0</v>
      </c>
      <c r="Y13" s="605">
        <v>0</v>
      </c>
      <c r="Z13" s="605">
        <v>0</v>
      </c>
      <c r="AA13" s="605">
        <v>0</v>
      </c>
      <c r="AB13" s="605">
        <v>0</v>
      </c>
      <c r="AC13" s="605">
        <v>0</v>
      </c>
      <c r="AD13" s="605">
        <v>0</v>
      </c>
      <c r="AE13" s="299">
        <f t="shared" si="1"/>
        <v>0</v>
      </c>
    </row>
    <row r="14" spans="1:31" customFormat="1" ht="12.75" customHeight="1" x14ac:dyDescent="0.25">
      <c r="A14" s="290" t="s">
        <v>863</v>
      </c>
      <c r="B14" s="294"/>
      <c r="C14" s="295" t="s">
        <v>1044</v>
      </c>
      <c r="D14" s="296"/>
      <c r="E14" s="296"/>
      <c r="F14" s="296"/>
      <c r="G14" s="297"/>
      <c r="H14" s="605">
        <v>12228</v>
      </c>
      <c r="I14" s="605">
        <v>1692</v>
      </c>
      <c r="J14" s="605">
        <v>117</v>
      </c>
      <c r="K14" s="605">
        <v>49</v>
      </c>
      <c r="L14" s="605">
        <v>199</v>
      </c>
      <c r="M14" s="605">
        <v>0</v>
      </c>
      <c r="N14" s="605">
        <v>0</v>
      </c>
      <c r="O14" s="605">
        <v>0</v>
      </c>
      <c r="P14" s="605">
        <v>0</v>
      </c>
      <c r="Q14" s="299">
        <f t="shared" si="0"/>
        <v>14285</v>
      </c>
      <c r="R14" s="605">
        <v>1604</v>
      </c>
      <c r="S14" s="605">
        <v>0</v>
      </c>
      <c r="T14" s="605">
        <v>4830</v>
      </c>
      <c r="U14" s="605">
        <v>0</v>
      </c>
      <c r="V14" s="605">
        <v>252</v>
      </c>
      <c r="W14" s="605">
        <v>274</v>
      </c>
      <c r="X14" s="605">
        <v>932</v>
      </c>
      <c r="Y14" s="605">
        <v>0</v>
      </c>
      <c r="Z14" s="605">
        <v>227</v>
      </c>
      <c r="AA14" s="605">
        <v>8</v>
      </c>
      <c r="AB14" s="605">
        <v>4563</v>
      </c>
      <c r="AC14" s="605">
        <v>354</v>
      </c>
      <c r="AD14" s="605">
        <v>157</v>
      </c>
      <c r="AE14" s="299">
        <f t="shared" si="1"/>
        <v>27486</v>
      </c>
    </row>
    <row r="15" spans="1:31" customFormat="1" ht="12.75" customHeight="1" x14ac:dyDescent="0.25">
      <c r="A15" s="290" t="s">
        <v>865</v>
      </c>
      <c r="B15" s="294"/>
      <c r="C15" s="295" t="s">
        <v>1045</v>
      </c>
      <c r="D15" s="296"/>
      <c r="E15" s="296"/>
      <c r="F15" s="296"/>
      <c r="G15" s="297"/>
      <c r="H15" s="605">
        <v>0</v>
      </c>
      <c r="I15" s="605">
        <v>0</v>
      </c>
      <c r="J15" s="605">
        <v>0</v>
      </c>
      <c r="K15" s="605">
        <v>0</v>
      </c>
      <c r="L15" s="605">
        <v>0</v>
      </c>
      <c r="M15" s="605">
        <v>0</v>
      </c>
      <c r="N15" s="605">
        <v>0</v>
      </c>
      <c r="O15" s="605">
        <v>0</v>
      </c>
      <c r="P15" s="605">
        <v>0</v>
      </c>
      <c r="Q15" s="299">
        <f t="shared" si="0"/>
        <v>0</v>
      </c>
      <c r="R15" s="605">
        <v>0</v>
      </c>
      <c r="S15" s="605">
        <v>0</v>
      </c>
      <c r="T15" s="605">
        <v>0</v>
      </c>
      <c r="U15" s="605">
        <v>0</v>
      </c>
      <c r="V15" s="605">
        <v>0</v>
      </c>
      <c r="W15" s="605">
        <v>0</v>
      </c>
      <c r="X15" s="605">
        <v>0</v>
      </c>
      <c r="Y15" s="605">
        <v>0</v>
      </c>
      <c r="Z15" s="605">
        <v>0</v>
      </c>
      <c r="AA15" s="605">
        <v>0</v>
      </c>
      <c r="AB15" s="605">
        <v>0</v>
      </c>
      <c r="AC15" s="605">
        <v>0</v>
      </c>
      <c r="AD15" s="605">
        <v>0</v>
      </c>
      <c r="AE15" s="299">
        <f t="shared" si="1"/>
        <v>0</v>
      </c>
    </row>
    <row r="16" spans="1:31" customFormat="1" ht="12.75" customHeight="1" x14ac:dyDescent="0.25">
      <c r="A16" s="290" t="s">
        <v>1046</v>
      </c>
      <c r="B16" s="294"/>
      <c r="C16" s="295" t="s">
        <v>1047</v>
      </c>
      <c r="D16" s="296"/>
      <c r="E16" s="296"/>
      <c r="F16" s="296"/>
      <c r="G16" s="297"/>
      <c r="H16" s="605">
        <v>111</v>
      </c>
      <c r="I16" s="605">
        <v>2</v>
      </c>
      <c r="J16" s="605">
        <v>4615</v>
      </c>
      <c r="K16" s="605">
        <v>547</v>
      </c>
      <c r="L16" s="605">
        <v>354</v>
      </c>
      <c r="M16" s="605">
        <v>0</v>
      </c>
      <c r="N16" s="605">
        <v>29</v>
      </c>
      <c r="O16" s="605">
        <v>0</v>
      </c>
      <c r="P16" s="605">
        <v>11</v>
      </c>
      <c r="Q16" s="299">
        <f t="shared" si="0"/>
        <v>5669</v>
      </c>
      <c r="R16" s="605">
        <v>576</v>
      </c>
      <c r="S16" s="605">
        <v>84</v>
      </c>
      <c r="T16" s="605">
        <v>2751</v>
      </c>
      <c r="U16" s="605">
        <v>0</v>
      </c>
      <c r="V16" s="605">
        <v>1639</v>
      </c>
      <c r="W16" s="605">
        <v>539</v>
      </c>
      <c r="X16" s="605">
        <v>1996</v>
      </c>
      <c r="Y16" s="605">
        <v>0</v>
      </c>
      <c r="Z16" s="605">
        <v>0</v>
      </c>
      <c r="AA16" s="605">
        <v>255</v>
      </c>
      <c r="AB16" s="605">
        <v>-6</v>
      </c>
      <c r="AC16" s="605">
        <v>2</v>
      </c>
      <c r="AD16" s="605">
        <v>51</v>
      </c>
      <c r="AE16" s="299">
        <f t="shared" si="1"/>
        <v>13556</v>
      </c>
    </row>
    <row r="17" spans="1:31" customFormat="1" ht="12.75" customHeight="1" x14ac:dyDescent="0.25">
      <c r="A17" s="290" t="s">
        <v>1048</v>
      </c>
      <c r="B17" s="294"/>
      <c r="C17" s="295" t="s">
        <v>1049</v>
      </c>
      <c r="D17" s="296"/>
      <c r="E17" s="296"/>
      <c r="F17" s="296"/>
      <c r="G17" s="297"/>
      <c r="H17" s="605">
        <v>5045</v>
      </c>
      <c r="I17" s="605">
        <v>4748</v>
      </c>
      <c r="J17" s="605">
        <v>1242</v>
      </c>
      <c r="K17" s="605">
        <v>311</v>
      </c>
      <c r="L17" s="605">
        <v>0</v>
      </c>
      <c r="M17" s="605">
        <v>0</v>
      </c>
      <c r="N17" s="605">
        <v>57</v>
      </c>
      <c r="O17" s="605">
        <v>27</v>
      </c>
      <c r="P17" s="605">
        <v>418</v>
      </c>
      <c r="Q17" s="299">
        <f t="shared" si="0"/>
        <v>11848</v>
      </c>
      <c r="R17" s="605">
        <v>19380</v>
      </c>
      <c r="S17" s="605">
        <v>120</v>
      </c>
      <c r="T17" s="605">
        <v>521</v>
      </c>
      <c r="U17" s="605">
        <v>0</v>
      </c>
      <c r="V17" s="605">
        <v>302</v>
      </c>
      <c r="W17" s="605">
        <v>251</v>
      </c>
      <c r="X17" s="605">
        <v>3600</v>
      </c>
      <c r="Y17" s="605">
        <v>60</v>
      </c>
      <c r="Z17" s="605">
        <v>258</v>
      </c>
      <c r="AA17" s="605">
        <v>207</v>
      </c>
      <c r="AB17" s="605">
        <v>325</v>
      </c>
      <c r="AC17" s="605">
        <v>1255</v>
      </c>
      <c r="AD17" s="605">
        <v>3608</v>
      </c>
      <c r="AE17" s="299">
        <f t="shared" si="1"/>
        <v>41735</v>
      </c>
    </row>
    <row r="18" spans="1:31" customFormat="1" ht="12.75" customHeight="1" x14ac:dyDescent="0.25">
      <c r="A18" s="290" t="s">
        <v>1050</v>
      </c>
      <c r="B18" s="294"/>
      <c r="C18" s="295" t="s">
        <v>1051</v>
      </c>
      <c r="D18" s="296"/>
      <c r="E18" s="296"/>
      <c r="F18" s="296"/>
      <c r="G18" s="297"/>
      <c r="H18" s="605">
        <v>839</v>
      </c>
      <c r="I18" s="605">
        <v>94</v>
      </c>
      <c r="J18" s="605">
        <v>191</v>
      </c>
      <c r="K18" s="605">
        <v>4937</v>
      </c>
      <c r="L18" s="605">
        <v>0</v>
      </c>
      <c r="M18" s="605">
        <v>0</v>
      </c>
      <c r="N18" s="605">
        <v>3</v>
      </c>
      <c r="O18" s="605">
        <v>25</v>
      </c>
      <c r="P18" s="605">
        <v>1</v>
      </c>
      <c r="Q18" s="299">
        <f t="shared" si="0"/>
        <v>6090</v>
      </c>
      <c r="R18" s="605">
        <v>1021</v>
      </c>
      <c r="S18" s="605">
        <v>0</v>
      </c>
      <c r="T18" s="605">
        <v>145</v>
      </c>
      <c r="U18" s="605">
        <v>0</v>
      </c>
      <c r="V18" s="605">
        <v>756</v>
      </c>
      <c r="W18" s="605">
        <v>141</v>
      </c>
      <c r="X18" s="605">
        <v>2143</v>
      </c>
      <c r="Y18" s="605">
        <v>0</v>
      </c>
      <c r="Z18" s="605">
        <v>3</v>
      </c>
      <c r="AA18" s="605">
        <v>0</v>
      </c>
      <c r="AB18" s="605">
        <v>0</v>
      </c>
      <c r="AC18" s="605">
        <v>76</v>
      </c>
      <c r="AD18" s="605">
        <v>209</v>
      </c>
      <c r="AE18" s="299">
        <f t="shared" si="1"/>
        <v>10584</v>
      </c>
    </row>
    <row r="19" spans="1:31" customFormat="1" ht="12.75" customHeight="1" x14ac:dyDescent="0.25">
      <c r="A19" s="290" t="s">
        <v>1052</v>
      </c>
      <c r="B19" s="294"/>
      <c r="C19" s="295" t="s">
        <v>1053</v>
      </c>
      <c r="D19" s="296"/>
      <c r="E19" s="296"/>
      <c r="F19" s="296"/>
      <c r="G19" s="297"/>
      <c r="H19" s="605">
        <v>597</v>
      </c>
      <c r="I19" s="605">
        <v>0</v>
      </c>
      <c r="J19" s="605">
        <v>0</v>
      </c>
      <c r="K19" s="605">
        <v>3000</v>
      </c>
      <c r="L19" s="605">
        <v>0</v>
      </c>
      <c r="M19" s="605">
        <v>0</v>
      </c>
      <c r="N19" s="605">
        <v>10777</v>
      </c>
      <c r="O19" s="605">
        <v>7</v>
      </c>
      <c r="P19" s="605">
        <v>19</v>
      </c>
      <c r="Q19" s="299">
        <f t="shared" si="0"/>
        <v>14400</v>
      </c>
      <c r="R19" s="605">
        <v>414</v>
      </c>
      <c r="S19" s="605">
        <v>34</v>
      </c>
      <c r="T19" s="605">
        <v>293</v>
      </c>
      <c r="U19" s="605">
        <v>0</v>
      </c>
      <c r="V19" s="605">
        <v>215</v>
      </c>
      <c r="W19" s="605">
        <v>8</v>
      </c>
      <c r="X19" s="605">
        <v>5339</v>
      </c>
      <c r="Y19" s="605">
        <v>0</v>
      </c>
      <c r="Z19" s="605">
        <v>0</v>
      </c>
      <c r="AA19" s="605">
        <v>7</v>
      </c>
      <c r="AB19" s="605">
        <v>0</v>
      </c>
      <c r="AC19" s="605">
        <v>93</v>
      </c>
      <c r="AD19" s="605">
        <v>60</v>
      </c>
      <c r="AE19" s="299">
        <f t="shared" si="1"/>
        <v>20863</v>
      </c>
    </row>
    <row r="20" spans="1:31" customFormat="1" ht="12.75" customHeight="1" x14ac:dyDescent="0.25">
      <c r="A20" s="290" t="s">
        <v>1054</v>
      </c>
      <c r="B20" s="294"/>
      <c r="C20" s="295" t="s">
        <v>1055</v>
      </c>
      <c r="D20" s="296"/>
      <c r="E20" s="296"/>
      <c r="F20" s="296"/>
      <c r="G20" s="297"/>
      <c r="H20" s="605">
        <v>0</v>
      </c>
      <c r="I20" s="605">
        <v>0</v>
      </c>
      <c r="J20" s="605">
        <v>0</v>
      </c>
      <c r="K20" s="605">
        <v>0</v>
      </c>
      <c r="L20" s="605">
        <v>0</v>
      </c>
      <c r="M20" s="605">
        <v>0</v>
      </c>
      <c r="N20" s="605">
        <v>0</v>
      </c>
      <c r="O20" s="605">
        <v>0</v>
      </c>
      <c r="P20" s="605">
        <v>0</v>
      </c>
      <c r="Q20" s="299">
        <f t="shared" si="0"/>
        <v>0</v>
      </c>
      <c r="R20" s="605">
        <v>0</v>
      </c>
      <c r="S20" s="605">
        <v>0</v>
      </c>
      <c r="T20" s="605">
        <v>0</v>
      </c>
      <c r="U20" s="605">
        <v>0</v>
      </c>
      <c r="V20" s="605">
        <v>0</v>
      </c>
      <c r="W20" s="605">
        <v>0</v>
      </c>
      <c r="X20" s="605">
        <v>0</v>
      </c>
      <c r="Y20" s="605">
        <v>0</v>
      </c>
      <c r="Z20" s="605">
        <v>0</v>
      </c>
      <c r="AA20" s="605">
        <v>0</v>
      </c>
      <c r="AB20" s="605">
        <v>0</v>
      </c>
      <c r="AC20" s="605">
        <v>0</v>
      </c>
      <c r="AD20" s="605">
        <v>0</v>
      </c>
      <c r="AE20" s="299">
        <f t="shared" si="1"/>
        <v>0</v>
      </c>
    </row>
    <row r="21" spans="1:31" customFormat="1" ht="12.75" customHeight="1" x14ac:dyDescent="0.25">
      <c r="A21" s="290" t="s">
        <v>1056</v>
      </c>
      <c r="B21" s="294"/>
      <c r="C21" s="295" t="s">
        <v>1057</v>
      </c>
      <c r="D21" s="296"/>
      <c r="E21" s="296"/>
      <c r="F21" s="296"/>
      <c r="G21" s="297"/>
      <c r="H21" s="605">
        <v>0</v>
      </c>
      <c r="I21" s="605">
        <v>0</v>
      </c>
      <c r="J21" s="605">
        <v>0</v>
      </c>
      <c r="K21" s="605">
        <v>1045</v>
      </c>
      <c r="L21" s="605">
        <v>0</v>
      </c>
      <c r="M21" s="605">
        <v>0</v>
      </c>
      <c r="N21" s="605">
        <v>0</v>
      </c>
      <c r="O21" s="605">
        <v>0</v>
      </c>
      <c r="P21" s="605">
        <v>0</v>
      </c>
      <c r="Q21" s="299">
        <f t="shared" si="0"/>
        <v>1045</v>
      </c>
      <c r="R21" s="605">
        <v>8</v>
      </c>
      <c r="S21" s="605">
        <v>0</v>
      </c>
      <c r="T21" s="605">
        <v>0</v>
      </c>
      <c r="U21" s="605">
        <v>0</v>
      </c>
      <c r="V21" s="605">
        <v>0</v>
      </c>
      <c r="W21" s="605">
        <v>4</v>
      </c>
      <c r="X21" s="605">
        <v>278</v>
      </c>
      <c r="Y21" s="605">
        <v>0</v>
      </c>
      <c r="Z21" s="605">
        <v>0</v>
      </c>
      <c r="AA21" s="605">
        <v>13</v>
      </c>
      <c r="AB21" s="605">
        <v>0</v>
      </c>
      <c r="AC21" s="605">
        <v>9</v>
      </c>
      <c r="AD21" s="605">
        <v>19</v>
      </c>
      <c r="AE21" s="299">
        <f t="shared" si="1"/>
        <v>1376</v>
      </c>
    </row>
    <row r="22" spans="1:31" customFormat="1" ht="12.75" customHeight="1" x14ac:dyDescent="0.25">
      <c r="A22" s="290" t="s">
        <v>1058</v>
      </c>
      <c r="B22" s="294"/>
      <c r="C22" s="295" t="s">
        <v>1059</v>
      </c>
      <c r="D22" s="296"/>
      <c r="E22" s="296"/>
      <c r="F22" s="296"/>
      <c r="G22" s="297"/>
      <c r="H22" s="605">
        <v>0</v>
      </c>
      <c r="I22" s="605">
        <v>0</v>
      </c>
      <c r="J22" s="605">
        <v>0</v>
      </c>
      <c r="K22" s="605">
        <v>0</v>
      </c>
      <c r="L22" s="605">
        <v>0</v>
      </c>
      <c r="M22" s="605">
        <v>0</v>
      </c>
      <c r="N22" s="605">
        <v>0</v>
      </c>
      <c r="O22" s="605">
        <v>0</v>
      </c>
      <c r="P22" s="605">
        <v>0</v>
      </c>
      <c r="Q22" s="299">
        <f t="shared" si="0"/>
        <v>0</v>
      </c>
      <c r="R22" s="605">
        <v>0</v>
      </c>
      <c r="S22" s="605">
        <v>0</v>
      </c>
      <c r="T22" s="605">
        <v>0</v>
      </c>
      <c r="U22" s="605">
        <v>0</v>
      </c>
      <c r="V22" s="605">
        <v>0</v>
      </c>
      <c r="W22" s="605">
        <v>0</v>
      </c>
      <c r="X22" s="605">
        <v>0</v>
      </c>
      <c r="Y22" s="605">
        <v>0</v>
      </c>
      <c r="Z22" s="605">
        <v>0</v>
      </c>
      <c r="AA22" s="605">
        <v>0</v>
      </c>
      <c r="AB22" s="605">
        <v>0</v>
      </c>
      <c r="AC22" s="605">
        <v>0</v>
      </c>
      <c r="AD22" s="605">
        <v>0</v>
      </c>
      <c r="AE22" s="299">
        <f t="shared" si="1"/>
        <v>0</v>
      </c>
    </row>
    <row r="23" spans="1:31" customFormat="1" ht="12.75" customHeight="1" x14ac:dyDescent="0.25">
      <c r="A23" s="290" t="s">
        <v>1060</v>
      </c>
      <c r="B23" s="294"/>
      <c r="C23" s="295" t="s">
        <v>1061</v>
      </c>
      <c r="D23" s="296"/>
      <c r="E23" s="296"/>
      <c r="F23" s="296"/>
      <c r="G23" s="297"/>
      <c r="H23" s="605">
        <v>436</v>
      </c>
      <c r="I23" s="605">
        <v>8</v>
      </c>
      <c r="J23" s="605">
        <v>32</v>
      </c>
      <c r="K23" s="605">
        <v>1781</v>
      </c>
      <c r="L23" s="605">
        <v>41</v>
      </c>
      <c r="M23" s="605">
        <v>0</v>
      </c>
      <c r="N23" s="605">
        <v>0</v>
      </c>
      <c r="O23" s="605">
        <v>0</v>
      </c>
      <c r="P23" s="605">
        <v>2</v>
      </c>
      <c r="Q23" s="299">
        <f t="shared" si="0"/>
        <v>2300</v>
      </c>
      <c r="R23" s="605">
        <v>379</v>
      </c>
      <c r="S23" s="605">
        <v>74</v>
      </c>
      <c r="T23" s="605">
        <v>105</v>
      </c>
      <c r="U23" s="605">
        <v>0</v>
      </c>
      <c r="V23" s="605">
        <v>183</v>
      </c>
      <c r="W23" s="605">
        <v>661</v>
      </c>
      <c r="X23" s="605">
        <v>483</v>
      </c>
      <c r="Y23" s="605">
        <v>0</v>
      </c>
      <c r="Z23" s="605">
        <v>-11</v>
      </c>
      <c r="AA23" s="605">
        <v>78</v>
      </c>
      <c r="AB23" s="605">
        <v>0</v>
      </c>
      <c r="AC23" s="605">
        <v>2</v>
      </c>
      <c r="AD23" s="605">
        <v>614</v>
      </c>
      <c r="AE23" s="299">
        <f t="shared" si="1"/>
        <v>4868</v>
      </c>
    </row>
    <row r="24" spans="1:31" customFormat="1" ht="12.75" customHeight="1" x14ac:dyDescent="0.25">
      <c r="A24" s="290" t="s">
        <v>1062</v>
      </c>
      <c r="B24" s="294"/>
      <c r="C24" s="295" t="s">
        <v>1063</v>
      </c>
      <c r="D24" s="296"/>
      <c r="E24" s="296"/>
      <c r="F24" s="296"/>
      <c r="G24" s="297"/>
      <c r="H24" s="605">
        <v>175</v>
      </c>
      <c r="I24" s="605">
        <v>53</v>
      </c>
      <c r="J24" s="605">
        <v>0</v>
      </c>
      <c r="K24" s="605">
        <v>4542</v>
      </c>
      <c r="L24" s="605">
        <v>0</v>
      </c>
      <c r="M24" s="605">
        <v>0</v>
      </c>
      <c r="N24" s="605">
        <v>32</v>
      </c>
      <c r="O24" s="605">
        <v>0</v>
      </c>
      <c r="P24" s="605">
        <v>0</v>
      </c>
      <c r="Q24" s="299">
        <f t="shared" si="0"/>
        <v>4802</v>
      </c>
      <c r="R24" s="605">
        <v>185</v>
      </c>
      <c r="S24" s="605">
        <v>0</v>
      </c>
      <c r="T24" s="605">
        <v>373</v>
      </c>
      <c r="U24" s="605">
        <v>0</v>
      </c>
      <c r="V24" s="605">
        <v>1556</v>
      </c>
      <c r="W24" s="605">
        <v>727</v>
      </c>
      <c r="X24" s="605">
        <v>924</v>
      </c>
      <c r="Y24" s="605">
        <v>0</v>
      </c>
      <c r="Z24" s="605">
        <v>128</v>
      </c>
      <c r="AA24" s="605">
        <v>51</v>
      </c>
      <c r="AB24" s="605">
        <v>0</v>
      </c>
      <c r="AC24" s="605">
        <v>220</v>
      </c>
      <c r="AD24" s="605">
        <v>27</v>
      </c>
      <c r="AE24" s="299">
        <f t="shared" si="1"/>
        <v>8993</v>
      </c>
    </row>
    <row r="25" spans="1:31" customFormat="1" ht="12.75" customHeight="1" x14ac:dyDescent="0.25">
      <c r="A25" s="290" t="s">
        <v>1064</v>
      </c>
      <c r="B25" s="294"/>
      <c r="C25" s="295" t="s">
        <v>1065</v>
      </c>
      <c r="D25" s="296"/>
      <c r="E25" s="296"/>
      <c r="F25" s="296"/>
      <c r="G25" s="297"/>
      <c r="H25" s="605">
        <v>0</v>
      </c>
      <c r="I25" s="605">
        <v>0</v>
      </c>
      <c r="J25" s="605">
        <v>1</v>
      </c>
      <c r="K25" s="605">
        <v>1573</v>
      </c>
      <c r="L25" s="605">
        <v>0</v>
      </c>
      <c r="M25" s="605">
        <v>0</v>
      </c>
      <c r="N25" s="605">
        <v>0</v>
      </c>
      <c r="O25" s="605">
        <v>0</v>
      </c>
      <c r="P25" s="605">
        <v>0</v>
      </c>
      <c r="Q25" s="299">
        <f t="shared" si="0"/>
        <v>1574</v>
      </c>
      <c r="R25" s="605">
        <v>127</v>
      </c>
      <c r="S25" s="605">
        <v>0</v>
      </c>
      <c r="T25" s="605">
        <v>129</v>
      </c>
      <c r="U25" s="605">
        <v>0</v>
      </c>
      <c r="V25" s="605">
        <v>670</v>
      </c>
      <c r="W25" s="605">
        <v>-2</v>
      </c>
      <c r="X25" s="605">
        <v>1338</v>
      </c>
      <c r="Y25" s="605">
        <v>0</v>
      </c>
      <c r="Z25" s="605">
        <v>54</v>
      </c>
      <c r="AA25" s="605">
        <v>-4</v>
      </c>
      <c r="AB25" s="605">
        <v>0</v>
      </c>
      <c r="AC25" s="605">
        <v>0</v>
      </c>
      <c r="AD25" s="605">
        <v>21</v>
      </c>
      <c r="AE25" s="299">
        <f t="shared" si="1"/>
        <v>3907</v>
      </c>
    </row>
    <row r="26" spans="1:31" customFormat="1" ht="12.75" customHeight="1" x14ac:dyDescent="0.25">
      <c r="A26" s="290" t="s">
        <v>1066</v>
      </c>
      <c r="B26" s="294"/>
      <c r="C26" s="295" t="s">
        <v>1067</v>
      </c>
      <c r="D26" s="296"/>
      <c r="E26" s="296"/>
      <c r="F26" s="296"/>
      <c r="G26" s="297"/>
      <c r="H26" s="605">
        <v>106</v>
      </c>
      <c r="I26" s="605">
        <v>145</v>
      </c>
      <c r="J26" s="605">
        <v>0</v>
      </c>
      <c r="K26" s="605">
        <v>5148</v>
      </c>
      <c r="L26" s="605">
        <v>108</v>
      </c>
      <c r="M26" s="605">
        <v>8</v>
      </c>
      <c r="N26" s="605">
        <v>0</v>
      </c>
      <c r="O26" s="605">
        <v>0</v>
      </c>
      <c r="P26" s="605">
        <v>103</v>
      </c>
      <c r="Q26" s="299">
        <f t="shared" si="0"/>
        <v>5618</v>
      </c>
      <c r="R26" s="605">
        <v>888</v>
      </c>
      <c r="S26" s="605">
        <v>0</v>
      </c>
      <c r="T26" s="605">
        <v>701</v>
      </c>
      <c r="U26" s="605">
        <v>0</v>
      </c>
      <c r="V26" s="605">
        <v>340</v>
      </c>
      <c r="W26" s="605">
        <v>174</v>
      </c>
      <c r="X26" s="605">
        <v>4435</v>
      </c>
      <c r="Y26" s="605">
        <v>0</v>
      </c>
      <c r="Z26" s="605">
        <v>157</v>
      </c>
      <c r="AA26" s="605">
        <v>23</v>
      </c>
      <c r="AB26" s="605">
        <v>105</v>
      </c>
      <c r="AC26" s="605">
        <v>1381</v>
      </c>
      <c r="AD26" s="605">
        <v>928</v>
      </c>
      <c r="AE26" s="299">
        <f t="shared" si="1"/>
        <v>14750</v>
      </c>
    </row>
    <row r="27" spans="1:31" customFormat="1" ht="12.75" customHeight="1" x14ac:dyDescent="0.25">
      <c r="A27" s="290" t="s">
        <v>1068</v>
      </c>
      <c r="B27" s="294"/>
      <c r="C27" s="295" t="s">
        <v>1069</v>
      </c>
      <c r="D27" s="296"/>
      <c r="E27" s="296"/>
      <c r="F27" s="296"/>
      <c r="G27" s="297"/>
      <c r="H27" s="605">
        <v>10</v>
      </c>
      <c r="I27" s="605">
        <v>0</v>
      </c>
      <c r="J27" s="605">
        <v>103</v>
      </c>
      <c r="K27" s="605">
        <v>821</v>
      </c>
      <c r="L27" s="605">
        <v>2</v>
      </c>
      <c r="M27" s="605">
        <v>0</v>
      </c>
      <c r="N27" s="605">
        <v>13</v>
      </c>
      <c r="O27" s="605">
        <v>7</v>
      </c>
      <c r="P27" s="605">
        <v>0</v>
      </c>
      <c r="Q27" s="299">
        <f t="shared" si="0"/>
        <v>956</v>
      </c>
      <c r="R27" s="605">
        <v>873</v>
      </c>
      <c r="S27" s="605">
        <v>0</v>
      </c>
      <c r="T27" s="605">
        <v>85</v>
      </c>
      <c r="U27" s="605">
        <v>0</v>
      </c>
      <c r="V27" s="605">
        <v>30</v>
      </c>
      <c r="W27" s="605">
        <v>24</v>
      </c>
      <c r="X27" s="605">
        <v>772</v>
      </c>
      <c r="Y27" s="605">
        <v>0</v>
      </c>
      <c r="Z27" s="605">
        <v>20</v>
      </c>
      <c r="AA27" s="605">
        <v>0</v>
      </c>
      <c r="AB27" s="605">
        <v>0</v>
      </c>
      <c r="AC27" s="605">
        <v>10</v>
      </c>
      <c r="AD27" s="605">
        <v>44</v>
      </c>
      <c r="AE27" s="299">
        <f t="shared" si="1"/>
        <v>2814</v>
      </c>
    </row>
    <row r="28" spans="1:31" customFormat="1" ht="12.75" customHeight="1" x14ac:dyDescent="0.25">
      <c r="A28" s="290" t="s">
        <v>1070</v>
      </c>
      <c r="B28" s="294"/>
      <c r="C28" s="295" t="s">
        <v>1071</v>
      </c>
      <c r="D28" s="296"/>
      <c r="E28" s="296"/>
      <c r="F28" s="296"/>
      <c r="G28" s="297"/>
      <c r="H28" s="605">
        <v>0</v>
      </c>
      <c r="I28" s="605">
        <v>0</v>
      </c>
      <c r="J28" s="605">
        <v>0</v>
      </c>
      <c r="K28" s="605">
        <v>3</v>
      </c>
      <c r="L28" s="605">
        <v>9</v>
      </c>
      <c r="M28" s="605">
        <v>0</v>
      </c>
      <c r="N28" s="605">
        <v>0</v>
      </c>
      <c r="O28" s="605">
        <v>0</v>
      </c>
      <c r="P28" s="605">
        <v>13</v>
      </c>
      <c r="Q28" s="299">
        <f t="shared" si="0"/>
        <v>25</v>
      </c>
      <c r="R28" s="605">
        <v>96</v>
      </c>
      <c r="S28" s="605">
        <v>0</v>
      </c>
      <c r="T28" s="605">
        <v>54</v>
      </c>
      <c r="U28" s="605">
        <v>0</v>
      </c>
      <c r="V28" s="605">
        <v>6</v>
      </c>
      <c r="W28" s="605">
        <v>11</v>
      </c>
      <c r="X28" s="605">
        <v>0</v>
      </c>
      <c r="Y28" s="605">
        <v>0</v>
      </c>
      <c r="Z28" s="605">
        <v>0</v>
      </c>
      <c r="AA28" s="605">
        <v>0</v>
      </c>
      <c r="AB28" s="605">
        <v>0</v>
      </c>
      <c r="AC28" s="605">
        <v>0</v>
      </c>
      <c r="AD28" s="605">
        <v>0</v>
      </c>
      <c r="AE28" s="299">
        <f t="shared" si="1"/>
        <v>192</v>
      </c>
    </row>
    <row r="29" spans="1:31" customFormat="1" ht="12.75" customHeight="1" x14ac:dyDescent="0.25">
      <c r="A29" s="290" t="s">
        <v>1072</v>
      </c>
      <c r="B29" s="294"/>
      <c r="C29" s="295" t="s">
        <v>1073</v>
      </c>
      <c r="D29" s="296"/>
      <c r="E29" s="296"/>
      <c r="F29" s="296"/>
      <c r="G29" s="297"/>
      <c r="H29" s="605">
        <v>229</v>
      </c>
      <c r="I29" s="605">
        <v>0</v>
      </c>
      <c r="J29" s="605">
        <v>185</v>
      </c>
      <c r="K29" s="605">
        <v>57</v>
      </c>
      <c r="L29" s="605">
        <v>2035</v>
      </c>
      <c r="M29" s="605">
        <v>21</v>
      </c>
      <c r="N29" s="605">
        <v>0</v>
      </c>
      <c r="O29" s="605">
        <v>0</v>
      </c>
      <c r="P29" s="605">
        <v>6</v>
      </c>
      <c r="Q29" s="299">
        <f t="shared" si="0"/>
        <v>2533</v>
      </c>
      <c r="R29" s="605">
        <v>0</v>
      </c>
      <c r="S29" s="605">
        <v>0</v>
      </c>
      <c r="T29" s="605">
        <v>59</v>
      </c>
      <c r="U29" s="605">
        <v>0</v>
      </c>
      <c r="V29" s="605">
        <v>36</v>
      </c>
      <c r="W29" s="605">
        <v>74</v>
      </c>
      <c r="X29" s="605">
        <v>531</v>
      </c>
      <c r="Y29" s="605">
        <v>0</v>
      </c>
      <c r="Z29" s="605">
        <v>0</v>
      </c>
      <c r="AA29" s="605">
        <v>0</v>
      </c>
      <c r="AB29" s="605">
        <v>38</v>
      </c>
      <c r="AC29" s="605">
        <v>0</v>
      </c>
      <c r="AD29" s="605">
        <v>0</v>
      </c>
      <c r="AE29" s="299">
        <f t="shared" si="1"/>
        <v>3271</v>
      </c>
    </row>
    <row r="30" spans="1:31" customFormat="1" ht="12.75" customHeight="1" x14ac:dyDescent="0.25">
      <c r="A30" s="290" t="s">
        <v>1074</v>
      </c>
      <c r="B30" s="294"/>
      <c r="C30" s="295" t="s">
        <v>1075</v>
      </c>
      <c r="D30" s="296"/>
      <c r="E30" s="296"/>
      <c r="F30" s="296"/>
      <c r="G30" s="297"/>
      <c r="H30" s="605">
        <v>0</v>
      </c>
      <c r="I30" s="605">
        <v>0</v>
      </c>
      <c r="J30" s="605">
        <v>0</v>
      </c>
      <c r="K30" s="605">
        <v>0</v>
      </c>
      <c r="L30" s="605">
        <v>368</v>
      </c>
      <c r="M30" s="605">
        <v>2</v>
      </c>
      <c r="N30" s="605">
        <v>0</v>
      </c>
      <c r="O30" s="605">
        <v>0</v>
      </c>
      <c r="P30" s="605">
        <v>28</v>
      </c>
      <c r="Q30" s="299">
        <f t="shared" si="0"/>
        <v>398</v>
      </c>
      <c r="R30" s="605">
        <v>89</v>
      </c>
      <c r="S30" s="605">
        <v>0</v>
      </c>
      <c r="T30" s="605">
        <v>112</v>
      </c>
      <c r="U30" s="605">
        <v>0</v>
      </c>
      <c r="V30" s="605">
        <v>0</v>
      </c>
      <c r="W30" s="605">
        <v>11</v>
      </c>
      <c r="X30" s="605">
        <v>614</v>
      </c>
      <c r="Y30" s="605">
        <v>0</v>
      </c>
      <c r="Z30" s="605">
        <v>0</v>
      </c>
      <c r="AA30" s="605">
        <v>0</v>
      </c>
      <c r="AB30" s="605">
        <v>-1</v>
      </c>
      <c r="AC30" s="605">
        <v>3</v>
      </c>
      <c r="AD30" s="605">
        <v>32</v>
      </c>
      <c r="AE30" s="299">
        <f t="shared" si="1"/>
        <v>1258</v>
      </c>
    </row>
    <row r="31" spans="1:31" customFormat="1" ht="12.75" customHeight="1" x14ac:dyDescent="0.25">
      <c r="A31" s="290" t="s">
        <v>1076</v>
      </c>
      <c r="B31" s="294"/>
      <c r="C31" s="295" t="s">
        <v>1077</v>
      </c>
      <c r="D31" s="296"/>
      <c r="E31" s="296"/>
      <c r="F31" s="296"/>
      <c r="G31" s="297"/>
      <c r="H31" s="605">
        <v>0</v>
      </c>
      <c r="I31" s="605">
        <v>0</v>
      </c>
      <c r="J31" s="605">
        <v>0</v>
      </c>
      <c r="K31" s="605">
        <v>0</v>
      </c>
      <c r="L31" s="605">
        <v>0</v>
      </c>
      <c r="M31" s="605">
        <v>9</v>
      </c>
      <c r="N31" s="605">
        <v>0</v>
      </c>
      <c r="O31" s="605">
        <v>0</v>
      </c>
      <c r="P31" s="605">
        <v>0</v>
      </c>
      <c r="Q31" s="299">
        <f t="shared" si="0"/>
        <v>9</v>
      </c>
      <c r="R31" s="605">
        <v>80</v>
      </c>
      <c r="S31" s="605">
        <v>0</v>
      </c>
      <c r="T31" s="605">
        <v>18</v>
      </c>
      <c r="U31" s="605">
        <v>0</v>
      </c>
      <c r="V31" s="605">
        <v>0</v>
      </c>
      <c r="W31" s="605">
        <v>0</v>
      </c>
      <c r="X31" s="605">
        <v>9</v>
      </c>
      <c r="Y31" s="605">
        <v>0</v>
      </c>
      <c r="Z31" s="605">
        <v>0</v>
      </c>
      <c r="AA31" s="605">
        <v>0</v>
      </c>
      <c r="AB31" s="605">
        <v>0</v>
      </c>
      <c r="AC31" s="605">
        <v>0</v>
      </c>
      <c r="AD31" s="605">
        <v>0</v>
      </c>
      <c r="AE31" s="299">
        <f t="shared" si="1"/>
        <v>116</v>
      </c>
    </row>
    <row r="32" spans="1:31" customFormat="1" ht="12.75" customHeight="1" x14ac:dyDescent="0.25">
      <c r="A32" s="290" t="s">
        <v>1078</v>
      </c>
      <c r="B32" s="294"/>
      <c r="C32" s="295" t="s">
        <v>1079</v>
      </c>
      <c r="D32" s="296"/>
      <c r="E32" s="296"/>
      <c r="F32" s="296"/>
      <c r="G32" s="297"/>
      <c r="H32" s="605">
        <v>0</v>
      </c>
      <c r="I32" s="605">
        <v>0</v>
      </c>
      <c r="J32" s="605">
        <v>0</v>
      </c>
      <c r="K32" s="605">
        <v>255</v>
      </c>
      <c r="L32" s="605">
        <v>310</v>
      </c>
      <c r="M32" s="605">
        <v>17</v>
      </c>
      <c r="N32" s="605">
        <v>0</v>
      </c>
      <c r="O32" s="605">
        <v>0</v>
      </c>
      <c r="P32" s="605">
        <v>103</v>
      </c>
      <c r="Q32" s="299">
        <f t="shared" si="0"/>
        <v>685</v>
      </c>
      <c r="R32" s="605">
        <v>47</v>
      </c>
      <c r="S32" s="605">
        <v>0</v>
      </c>
      <c r="T32" s="605">
        <v>0</v>
      </c>
      <c r="U32" s="605">
        <v>0</v>
      </c>
      <c r="V32" s="605">
        <v>0</v>
      </c>
      <c r="W32" s="605">
        <v>17</v>
      </c>
      <c r="X32" s="605">
        <v>1110</v>
      </c>
      <c r="Y32" s="605">
        <v>0</v>
      </c>
      <c r="Z32" s="605">
        <v>0</v>
      </c>
      <c r="AA32" s="605">
        <v>0</v>
      </c>
      <c r="AB32" s="605">
        <v>0</v>
      </c>
      <c r="AC32" s="605">
        <v>0</v>
      </c>
      <c r="AD32" s="605">
        <v>0</v>
      </c>
      <c r="AE32" s="299">
        <f t="shared" si="1"/>
        <v>1859</v>
      </c>
    </row>
    <row r="33" spans="1:31" customFormat="1" ht="12.75" customHeight="1" x14ac:dyDescent="0.25">
      <c r="A33" s="290" t="s">
        <v>1080</v>
      </c>
      <c r="B33" s="294"/>
      <c r="C33" s="295" t="s">
        <v>1081</v>
      </c>
      <c r="D33" s="296"/>
      <c r="E33" s="296"/>
      <c r="F33" s="296"/>
      <c r="G33" s="297"/>
      <c r="H33" s="605">
        <v>0</v>
      </c>
      <c r="I33" s="605">
        <v>0</v>
      </c>
      <c r="J33" s="605">
        <v>41</v>
      </c>
      <c r="K33" s="605">
        <v>15</v>
      </c>
      <c r="L33" s="605">
        <v>724</v>
      </c>
      <c r="M33" s="605">
        <v>0</v>
      </c>
      <c r="N33" s="605">
        <v>0</v>
      </c>
      <c r="O33" s="605">
        <v>0</v>
      </c>
      <c r="P33" s="605">
        <v>0</v>
      </c>
      <c r="Q33" s="299">
        <f t="shared" si="0"/>
        <v>780</v>
      </c>
      <c r="R33" s="605">
        <v>16</v>
      </c>
      <c r="S33" s="605">
        <v>0</v>
      </c>
      <c r="T33" s="605">
        <v>0</v>
      </c>
      <c r="U33" s="605">
        <v>0</v>
      </c>
      <c r="V33" s="605">
        <v>0</v>
      </c>
      <c r="W33" s="605">
        <v>223</v>
      </c>
      <c r="X33" s="605">
        <v>346</v>
      </c>
      <c r="Y33" s="605">
        <v>0</v>
      </c>
      <c r="Z33" s="605">
        <v>0</v>
      </c>
      <c r="AA33" s="605">
        <v>0</v>
      </c>
      <c r="AB33" s="605">
        <v>0</v>
      </c>
      <c r="AC33" s="605">
        <v>0</v>
      </c>
      <c r="AD33" s="605">
        <v>0</v>
      </c>
      <c r="AE33" s="299">
        <f t="shared" si="1"/>
        <v>1365</v>
      </c>
    </row>
    <row r="34" spans="1:31" customFormat="1" ht="12.75" customHeight="1" x14ac:dyDescent="0.25">
      <c r="A34" s="290" t="s">
        <v>1082</v>
      </c>
      <c r="B34" s="294"/>
      <c r="C34" s="295" t="s">
        <v>1083</v>
      </c>
      <c r="D34" s="296"/>
      <c r="E34" s="296"/>
      <c r="F34" s="296"/>
      <c r="G34" s="297"/>
      <c r="H34" s="605">
        <v>0</v>
      </c>
      <c r="I34" s="605">
        <v>0</v>
      </c>
      <c r="J34" s="605">
        <v>0</v>
      </c>
      <c r="K34" s="605">
        <v>0</v>
      </c>
      <c r="L34" s="605">
        <v>972</v>
      </c>
      <c r="M34" s="605">
        <v>0</v>
      </c>
      <c r="N34" s="605">
        <v>0</v>
      </c>
      <c r="O34" s="605">
        <v>0</v>
      </c>
      <c r="P34" s="605">
        <v>11</v>
      </c>
      <c r="Q34" s="299">
        <f t="shared" si="0"/>
        <v>983</v>
      </c>
      <c r="R34" s="605">
        <v>48</v>
      </c>
      <c r="S34" s="605">
        <v>0</v>
      </c>
      <c r="T34" s="605">
        <v>0</v>
      </c>
      <c r="U34" s="605">
        <v>0</v>
      </c>
      <c r="V34" s="605">
        <v>0</v>
      </c>
      <c r="W34" s="605">
        <v>0</v>
      </c>
      <c r="X34" s="605">
        <v>12</v>
      </c>
      <c r="Y34" s="605">
        <v>0</v>
      </c>
      <c r="Z34" s="605">
        <v>0</v>
      </c>
      <c r="AA34" s="605">
        <v>0</v>
      </c>
      <c r="AB34" s="605">
        <v>0</v>
      </c>
      <c r="AC34" s="605">
        <v>0</v>
      </c>
      <c r="AD34" s="605">
        <v>0</v>
      </c>
      <c r="AE34" s="299">
        <f t="shared" si="1"/>
        <v>1043</v>
      </c>
    </row>
    <row r="35" spans="1:31" customFormat="1" ht="12.75" customHeight="1" x14ac:dyDescent="0.25">
      <c r="A35" s="290" t="s">
        <v>1084</v>
      </c>
      <c r="B35" s="294"/>
      <c r="C35" s="295" t="s">
        <v>1085</v>
      </c>
      <c r="D35" s="296"/>
      <c r="E35" s="296"/>
      <c r="F35" s="296"/>
      <c r="G35" s="297"/>
      <c r="H35" s="605">
        <v>0</v>
      </c>
      <c r="I35" s="605">
        <v>0</v>
      </c>
      <c r="J35" s="605">
        <v>0</v>
      </c>
      <c r="K35" s="605">
        <v>6</v>
      </c>
      <c r="L35" s="605">
        <v>694</v>
      </c>
      <c r="M35" s="605">
        <v>8</v>
      </c>
      <c r="N35" s="605">
        <v>0</v>
      </c>
      <c r="O35" s="605">
        <v>0</v>
      </c>
      <c r="P35" s="605">
        <v>4</v>
      </c>
      <c r="Q35" s="299">
        <f t="shared" si="0"/>
        <v>712</v>
      </c>
      <c r="R35" s="605">
        <v>315</v>
      </c>
      <c r="S35" s="605">
        <v>0</v>
      </c>
      <c r="T35" s="605">
        <v>953</v>
      </c>
      <c r="U35" s="605">
        <v>0</v>
      </c>
      <c r="V35" s="605">
        <v>0</v>
      </c>
      <c r="W35" s="605">
        <v>-6</v>
      </c>
      <c r="X35" s="605">
        <v>0</v>
      </c>
      <c r="Y35" s="605">
        <v>0</v>
      </c>
      <c r="Z35" s="605">
        <v>0</v>
      </c>
      <c r="AA35" s="605">
        <v>0</v>
      </c>
      <c r="AB35" s="605">
        <v>0</v>
      </c>
      <c r="AC35" s="605">
        <v>0</v>
      </c>
      <c r="AD35" s="605">
        <v>3</v>
      </c>
      <c r="AE35" s="299">
        <f t="shared" si="1"/>
        <v>1977</v>
      </c>
    </row>
    <row r="36" spans="1:31" customFormat="1" ht="12.75" customHeight="1" x14ac:dyDescent="0.25">
      <c r="A36" s="290" t="s">
        <v>1086</v>
      </c>
      <c r="B36" s="294"/>
      <c r="C36" s="295" t="s">
        <v>1087</v>
      </c>
      <c r="D36" s="296"/>
      <c r="E36" s="296"/>
      <c r="F36" s="296"/>
      <c r="G36" s="297"/>
      <c r="H36" s="605">
        <v>0</v>
      </c>
      <c r="I36" s="605">
        <v>120</v>
      </c>
      <c r="J36" s="605">
        <v>0</v>
      </c>
      <c r="K36" s="605">
        <v>0</v>
      </c>
      <c r="L36" s="605">
        <v>29</v>
      </c>
      <c r="M36" s="605">
        <v>0</v>
      </c>
      <c r="N36" s="605">
        <v>0</v>
      </c>
      <c r="O36" s="605">
        <v>0</v>
      </c>
      <c r="P36" s="605">
        <v>5</v>
      </c>
      <c r="Q36" s="299">
        <f t="shared" si="0"/>
        <v>154</v>
      </c>
      <c r="R36" s="605">
        <v>9</v>
      </c>
      <c r="S36" s="605">
        <v>0</v>
      </c>
      <c r="T36" s="605">
        <v>0</v>
      </c>
      <c r="U36" s="605">
        <v>0</v>
      </c>
      <c r="V36" s="605">
        <v>0</v>
      </c>
      <c r="W36" s="605">
        <v>10</v>
      </c>
      <c r="X36" s="605">
        <v>121</v>
      </c>
      <c r="Y36" s="605">
        <v>0</v>
      </c>
      <c r="Z36" s="605">
        <v>0</v>
      </c>
      <c r="AA36" s="605">
        <v>-38</v>
      </c>
      <c r="AB36" s="605">
        <v>0</v>
      </c>
      <c r="AC36" s="605">
        <v>2</v>
      </c>
      <c r="AD36" s="605">
        <v>7</v>
      </c>
      <c r="AE36" s="299">
        <f t="shared" si="1"/>
        <v>265</v>
      </c>
    </row>
    <row r="37" spans="1:31" customFormat="1" ht="12.75" customHeight="1" x14ac:dyDescent="0.25">
      <c r="A37" s="290" t="s">
        <v>1088</v>
      </c>
      <c r="B37" s="294"/>
      <c r="C37" s="295" t="s">
        <v>1089</v>
      </c>
      <c r="D37" s="296"/>
      <c r="E37" s="296"/>
      <c r="F37" s="296"/>
      <c r="G37" s="297"/>
      <c r="H37" s="605">
        <v>261</v>
      </c>
      <c r="I37" s="605">
        <v>0</v>
      </c>
      <c r="J37" s="605">
        <v>1</v>
      </c>
      <c r="K37" s="605">
        <v>106</v>
      </c>
      <c r="L37" s="605">
        <v>711</v>
      </c>
      <c r="M37" s="605">
        <v>0</v>
      </c>
      <c r="N37" s="605">
        <v>0</v>
      </c>
      <c r="O37" s="605">
        <v>0</v>
      </c>
      <c r="P37" s="605">
        <v>72</v>
      </c>
      <c r="Q37" s="299">
        <f t="shared" si="0"/>
        <v>1151</v>
      </c>
      <c r="R37" s="605">
        <v>214</v>
      </c>
      <c r="S37" s="605">
        <v>0</v>
      </c>
      <c r="T37" s="605">
        <v>794</v>
      </c>
      <c r="U37" s="605">
        <v>0</v>
      </c>
      <c r="V37" s="605">
        <v>35</v>
      </c>
      <c r="W37" s="605">
        <v>200</v>
      </c>
      <c r="X37" s="605">
        <v>592</v>
      </c>
      <c r="Y37" s="605">
        <v>0</v>
      </c>
      <c r="Z37" s="605">
        <v>0</v>
      </c>
      <c r="AA37" s="605">
        <v>0</v>
      </c>
      <c r="AB37" s="605">
        <v>0</v>
      </c>
      <c r="AC37" s="605">
        <v>0</v>
      </c>
      <c r="AD37" s="605">
        <v>52</v>
      </c>
      <c r="AE37" s="299">
        <f t="shared" si="1"/>
        <v>3038</v>
      </c>
    </row>
    <row r="38" spans="1:31" customFormat="1" ht="12.75" customHeight="1" x14ac:dyDescent="0.25">
      <c r="A38" s="290" t="s">
        <v>1090</v>
      </c>
      <c r="B38" s="294"/>
      <c r="C38" s="295" t="s">
        <v>1091</v>
      </c>
      <c r="D38" s="296"/>
      <c r="E38" s="296"/>
      <c r="F38" s="296"/>
      <c r="G38" s="297"/>
      <c r="H38" s="605">
        <v>0</v>
      </c>
      <c r="I38" s="605">
        <v>0</v>
      </c>
      <c r="J38" s="605">
        <v>7</v>
      </c>
      <c r="K38" s="605">
        <v>19</v>
      </c>
      <c r="L38" s="605">
        <v>126</v>
      </c>
      <c r="M38" s="605">
        <v>55</v>
      </c>
      <c r="N38" s="605">
        <v>0</v>
      </c>
      <c r="O38" s="605">
        <v>0</v>
      </c>
      <c r="P38" s="605">
        <v>0</v>
      </c>
      <c r="Q38" s="299">
        <f t="shared" si="0"/>
        <v>207</v>
      </c>
      <c r="R38" s="605">
        <v>85</v>
      </c>
      <c r="S38" s="605">
        <v>0</v>
      </c>
      <c r="T38" s="605">
        <v>15</v>
      </c>
      <c r="U38" s="605">
        <v>0</v>
      </c>
      <c r="V38" s="605">
        <v>26</v>
      </c>
      <c r="W38" s="605">
        <v>-1</v>
      </c>
      <c r="X38" s="605">
        <v>133</v>
      </c>
      <c r="Y38" s="605">
        <v>0</v>
      </c>
      <c r="Z38" s="605">
        <v>111</v>
      </c>
      <c r="AA38" s="605">
        <v>93</v>
      </c>
      <c r="AB38" s="605">
        <v>0</v>
      </c>
      <c r="AC38" s="605">
        <v>460</v>
      </c>
      <c r="AD38" s="605">
        <v>-1</v>
      </c>
      <c r="AE38" s="299">
        <f t="shared" si="1"/>
        <v>1128</v>
      </c>
    </row>
    <row r="39" spans="1:31" customFormat="1" ht="12.75" customHeight="1" x14ac:dyDescent="0.25">
      <c r="A39" s="290" t="s">
        <v>1092</v>
      </c>
      <c r="B39" s="294"/>
      <c r="C39" s="295" t="s">
        <v>1093</v>
      </c>
      <c r="D39" s="296"/>
      <c r="E39" s="296"/>
      <c r="F39" s="296"/>
      <c r="G39" s="297"/>
      <c r="H39" s="605">
        <v>0</v>
      </c>
      <c r="I39" s="605">
        <v>0</v>
      </c>
      <c r="J39" s="605">
        <v>0</v>
      </c>
      <c r="K39" s="605">
        <v>0</v>
      </c>
      <c r="L39" s="605">
        <v>0</v>
      </c>
      <c r="M39" s="605">
        <v>0</v>
      </c>
      <c r="N39" s="605">
        <v>0</v>
      </c>
      <c r="O39" s="605">
        <v>0</v>
      </c>
      <c r="P39" s="605">
        <v>0</v>
      </c>
      <c r="Q39" s="299">
        <f t="shared" si="0"/>
        <v>0</v>
      </c>
      <c r="R39" s="605">
        <v>0</v>
      </c>
      <c r="S39" s="605">
        <v>0</v>
      </c>
      <c r="T39" s="605">
        <v>0</v>
      </c>
      <c r="U39" s="605">
        <v>0</v>
      </c>
      <c r="V39" s="605">
        <v>0</v>
      </c>
      <c r="W39" s="605">
        <v>0</v>
      </c>
      <c r="X39" s="605">
        <v>0</v>
      </c>
      <c r="Y39" s="605">
        <v>0</v>
      </c>
      <c r="Z39" s="605">
        <v>0</v>
      </c>
      <c r="AA39" s="605">
        <v>0</v>
      </c>
      <c r="AB39" s="605">
        <v>0</v>
      </c>
      <c r="AC39" s="605">
        <v>0</v>
      </c>
      <c r="AD39" s="605">
        <v>0</v>
      </c>
      <c r="AE39" s="299">
        <f t="shared" si="1"/>
        <v>0</v>
      </c>
    </row>
    <row r="40" spans="1:31" customFormat="1" ht="12.75" customHeight="1" x14ac:dyDescent="0.25">
      <c r="A40" s="290" t="s">
        <v>1094</v>
      </c>
      <c r="B40" s="294"/>
      <c r="C40" s="295" t="s">
        <v>1095</v>
      </c>
      <c r="D40" s="296"/>
      <c r="E40" s="296"/>
      <c r="F40" s="296"/>
      <c r="G40" s="297"/>
      <c r="H40" s="605">
        <v>0</v>
      </c>
      <c r="I40" s="605">
        <v>0</v>
      </c>
      <c r="J40" s="605">
        <v>1</v>
      </c>
      <c r="K40" s="605">
        <v>28</v>
      </c>
      <c r="L40" s="605">
        <v>293</v>
      </c>
      <c r="M40" s="605">
        <v>14</v>
      </c>
      <c r="N40" s="605">
        <v>0</v>
      </c>
      <c r="O40" s="605">
        <v>0</v>
      </c>
      <c r="P40" s="605">
        <v>0</v>
      </c>
      <c r="Q40" s="299">
        <f t="shared" si="0"/>
        <v>336</v>
      </c>
      <c r="R40" s="605">
        <v>245</v>
      </c>
      <c r="S40" s="605">
        <v>0</v>
      </c>
      <c r="T40" s="605">
        <v>629</v>
      </c>
      <c r="U40" s="605">
        <v>0</v>
      </c>
      <c r="V40" s="605">
        <v>0</v>
      </c>
      <c r="W40" s="605">
        <v>19</v>
      </c>
      <c r="X40" s="605">
        <v>96</v>
      </c>
      <c r="Y40" s="605">
        <v>0</v>
      </c>
      <c r="Z40" s="605">
        <v>0</v>
      </c>
      <c r="AA40" s="605">
        <v>0</v>
      </c>
      <c r="AB40" s="605">
        <v>0</v>
      </c>
      <c r="AC40" s="605">
        <v>0</v>
      </c>
      <c r="AD40" s="605">
        <v>0</v>
      </c>
      <c r="AE40" s="299">
        <f t="shared" si="1"/>
        <v>1325</v>
      </c>
    </row>
    <row r="41" spans="1:31" customFormat="1" ht="12.75" customHeight="1" x14ac:dyDescent="0.25">
      <c r="A41" s="290" t="s">
        <v>1096</v>
      </c>
      <c r="B41" s="294"/>
      <c r="C41" s="295" t="s">
        <v>1097</v>
      </c>
      <c r="D41" s="296"/>
      <c r="E41" s="296"/>
      <c r="F41" s="296"/>
      <c r="G41" s="297"/>
      <c r="H41" s="605">
        <v>0</v>
      </c>
      <c r="I41" s="605">
        <v>0</v>
      </c>
      <c r="J41" s="605">
        <v>0</v>
      </c>
      <c r="K41" s="605">
        <v>0</v>
      </c>
      <c r="L41" s="605">
        <v>0</v>
      </c>
      <c r="M41" s="605">
        <v>0</v>
      </c>
      <c r="N41" s="605">
        <v>0</v>
      </c>
      <c r="O41" s="605">
        <v>0</v>
      </c>
      <c r="P41" s="605">
        <v>0</v>
      </c>
      <c r="Q41" s="299">
        <f t="shared" si="0"/>
        <v>0</v>
      </c>
      <c r="R41" s="605">
        <v>0</v>
      </c>
      <c r="S41" s="605">
        <v>0</v>
      </c>
      <c r="T41" s="605">
        <v>0</v>
      </c>
      <c r="U41" s="605">
        <v>0</v>
      </c>
      <c r="V41" s="605">
        <v>0</v>
      </c>
      <c r="W41" s="605">
        <v>0</v>
      </c>
      <c r="X41" s="605">
        <v>0</v>
      </c>
      <c r="Y41" s="605">
        <v>0</v>
      </c>
      <c r="Z41" s="605">
        <v>0</v>
      </c>
      <c r="AA41" s="605">
        <v>0</v>
      </c>
      <c r="AB41" s="605">
        <v>0</v>
      </c>
      <c r="AC41" s="605">
        <v>0</v>
      </c>
      <c r="AD41" s="605">
        <v>0</v>
      </c>
      <c r="AE41" s="299">
        <f t="shared" si="1"/>
        <v>0</v>
      </c>
    </row>
    <row r="42" spans="1:31" customFormat="1" ht="12.75" customHeight="1" x14ac:dyDescent="0.25">
      <c r="A42" s="290" t="s">
        <v>1098</v>
      </c>
      <c r="B42" s="294"/>
      <c r="C42" s="295" t="s">
        <v>1099</v>
      </c>
      <c r="D42" s="296"/>
      <c r="E42" s="296"/>
      <c r="F42" s="296"/>
      <c r="G42" s="297"/>
      <c r="H42" s="605">
        <v>0</v>
      </c>
      <c r="I42" s="605">
        <v>0</v>
      </c>
      <c r="J42" s="605">
        <v>0</v>
      </c>
      <c r="K42" s="605">
        <v>0</v>
      </c>
      <c r="L42" s="605">
        <v>206</v>
      </c>
      <c r="M42" s="605">
        <v>207</v>
      </c>
      <c r="N42" s="605">
        <v>0</v>
      </c>
      <c r="O42" s="605">
        <v>0</v>
      </c>
      <c r="P42" s="605">
        <v>361</v>
      </c>
      <c r="Q42" s="299">
        <f t="shared" si="0"/>
        <v>774</v>
      </c>
      <c r="R42" s="605">
        <v>397</v>
      </c>
      <c r="S42" s="605">
        <v>2</v>
      </c>
      <c r="T42" s="605">
        <v>0</v>
      </c>
      <c r="U42" s="605">
        <v>0</v>
      </c>
      <c r="V42" s="605">
        <v>0</v>
      </c>
      <c r="W42" s="605">
        <v>21</v>
      </c>
      <c r="X42" s="605">
        <v>665</v>
      </c>
      <c r="Y42" s="605">
        <v>0</v>
      </c>
      <c r="Z42" s="605">
        <v>0</v>
      </c>
      <c r="AA42" s="605">
        <v>-12</v>
      </c>
      <c r="AB42" s="605">
        <v>1</v>
      </c>
      <c r="AC42" s="605">
        <v>0</v>
      </c>
      <c r="AD42" s="605">
        <v>0</v>
      </c>
      <c r="AE42" s="299">
        <f t="shared" si="1"/>
        <v>1848</v>
      </c>
    </row>
    <row r="43" spans="1:31" customFormat="1" ht="12.75" customHeight="1" x14ac:dyDescent="0.25">
      <c r="A43" s="290" t="s">
        <v>1100</v>
      </c>
      <c r="B43" s="294"/>
      <c r="C43" s="295" t="s">
        <v>1101</v>
      </c>
      <c r="D43" s="296"/>
      <c r="E43" s="296"/>
      <c r="F43" s="296"/>
      <c r="G43" s="297"/>
      <c r="H43" s="605">
        <v>0</v>
      </c>
      <c r="I43" s="605">
        <v>0</v>
      </c>
      <c r="J43" s="605">
        <v>0</v>
      </c>
      <c r="K43" s="605">
        <v>14</v>
      </c>
      <c r="L43" s="605">
        <v>12</v>
      </c>
      <c r="M43" s="605">
        <v>236</v>
      </c>
      <c r="N43" s="605">
        <v>0</v>
      </c>
      <c r="O43" s="605">
        <v>0</v>
      </c>
      <c r="P43" s="605">
        <v>5</v>
      </c>
      <c r="Q43" s="299">
        <f t="shared" si="0"/>
        <v>267</v>
      </c>
      <c r="R43" s="605">
        <v>132</v>
      </c>
      <c r="S43" s="605">
        <v>0</v>
      </c>
      <c r="T43" s="605">
        <v>0</v>
      </c>
      <c r="U43" s="605">
        <v>0</v>
      </c>
      <c r="V43" s="605">
        <v>0</v>
      </c>
      <c r="W43" s="605">
        <v>-1</v>
      </c>
      <c r="X43" s="605">
        <v>26</v>
      </c>
      <c r="Y43" s="605">
        <v>0</v>
      </c>
      <c r="Z43" s="605">
        <v>0</v>
      </c>
      <c r="AA43" s="605">
        <v>0</v>
      </c>
      <c r="AB43" s="605">
        <v>1</v>
      </c>
      <c r="AC43" s="605">
        <v>0</v>
      </c>
      <c r="AD43" s="605">
        <v>0</v>
      </c>
      <c r="AE43" s="299">
        <f t="shared" si="1"/>
        <v>425</v>
      </c>
    </row>
    <row r="44" spans="1:31" customFormat="1" ht="12.75" customHeight="1" x14ac:dyDescent="0.25">
      <c r="A44" s="290" t="s">
        <v>1102</v>
      </c>
      <c r="B44" s="294"/>
      <c r="C44" s="295" t="s">
        <v>1103</v>
      </c>
      <c r="D44" s="296"/>
      <c r="E44" s="296"/>
      <c r="F44" s="296"/>
      <c r="G44" s="297"/>
      <c r="H44" s="605">
        <v>0</v>
      </c>
      <c r="I44" s="605">
        <v>0</v>
      </c>
      <c r="J44" s="605">
        <v>0</v>
      </c>
      <c r="K44" s="605">
        <v>0</v>
      </c>
      <c r="L44" s="605">
        <v>2</v>
      </c>
      <c r="M44" s="605">
        <v>181</v>
      </c>
      <c r="N44" s="605">
        <v>0</v>
      </c>
      <c r="O44" s="605">
        <v>0</v>
      </c>
      <c r="P44" s="605">
        <v>0</v>
      </c>
      <c r="Q44" s="299">
        <f t="shared" si="0"/>
        <v>183</v>
      </c>
      <c r="R44" s="605">
        <v>141</v>
      </c>
      <c r="S44" s="605">
        <v>0</v>
      </c>
      <c r="T44" s="605">
        <v>0</v>
      </c>
      <c r="U44" s="605">
        <v>0</v>
      </c>
      <c r="V44" s="605">
        <v>0</v>
      </c>
      <c r="W44" s="605">
        <v>0</v>
      </c>
      <c r="X44" s="605">
        <v>12</v>
      </c>
      <c r="Y44" s="605">
        <v>0</v>
      </c>
      <c r="Z44" s="605">
        <v>0</v>
      </c>
      <c r="AA44" s="605">
        <v>0</v>
      </c>
      <c r="AB44" s="605">
        <v>0</v>
      </c>
      <c r="AC44" s="605">
        <v>0</v>
      </c>
      <c r="AD44" s="605">
        <v>0</v>
      </c>
      <c r="AE44" s="299">
        <f t="shared" si="1"/>
        <v>336</v>
      </c>
    </row>
    <row r="45" spans="1:31" customFormat="1" ht="12.75" customHeight="1" x14ac:dyDescent="0.25">
      <c r="A45" s="290" t="s">
        <v>1104</v>
      </c>
      <c r="B45" s="294"/>
      <c r="C45" s="295" t="s">
        <v>1105</v>
      </c>
      <c r="D45" s="296"/>
      <c r="E45" s="296"/>
      <c r="F45" s="296"/>
      <c r="G45" s="297"/>
      <c r="H45" s="605">
        <v>0</v>
      </c>
      <c r="I45" s="605">
        <v>0</v>
      </c>
      <c r="J45" s="605">
        <v>0</v>
      </c>
      <c r="K45" s="605">
        <v>0</v>
      </c>
      <c r="L45" s="605">
        <v>0</v>
      </c>
      <c r="M45" s="605">
        <v>0</v>
      </c>
      <c r="N45" s="605">
        <v>0</v>
      </c>
      <c r="O45" s="605">
        <v>0</v>
      </c>
      <c r="P45" s="605">
        <v>22</v>
      </c>
      <c r="Q45" s="299">
        <f t="shared" si="0"/>
        <v>22</v>
      </c>
      <c r="R45" s="605">
        <v>144</v>
      </c>
      <c r="S45" s="605">
        <v>0</v>
      </c>
      <c r="T45" s="605">
        <v>0</v>
      </c>
      <c r="U45" s="605">
        <v>0</v>
      </c>
      <c r="V45" s="605">
        <v>0</v>
      </c>
      <c r="W45" s="605">
        <v>0</v>
      </c>
      <c r="X45" s="605">
        <v>642</v>
      </c>
      <c r="Y45" s="605">
        <v>0</v>
      </c>
      <c r="Z45" s="605">
        <v>0</v>
      </c>
      <c r="AA45" s="605">
        <v>0</v>
      </c>
      <c r="AB45" s="605">
        <v>10</v>
      </c>
      <c r="AC45" s="605">
        <v>0</v>
      </c>
      <c r="AD45" s="605">
        <v>0</v>
      </c>
      <c r="AE45" s="299">
        <f t="shared" si="1"/>
        <v>818</v>
      </c>
    </row>
    <row r="46" spans="1:31" customFormat="1" ht="12.75" customHeight="1" x14ac:dyDescent="0.25">
      <c r="A46" s="290" t="s">
        <v>1106</v>
      </c>
      <c r="B46" s="294"/>
      <c r="C46" s="295" t="s">
        <v>1107</v>
      </c>
      <c r="D46" s="296"/>
      <c r="E46" s="296"/>
      <c r="F46" s="296"/>
      <c r="G46" s="297"/>
      <c r="H46" s="605">
        <v>0</v>
      </c>
      <c r="I46" s="605">
        <v>0</v>
      </c>
      <c r="J46" s="605">
        <v>0</v>
      </c>
      <c r="K46" s="605">
        <v>0</v>
      </c>
      <c r="L46" s="605">
        <v>0</v>
      </c>
      <c r="M46" s="605">
        <v>0</v>
      </c>
      <c r="N46" s="605">
        <v>0</v>
      </c>
      <c r="O46" s="605">
        <v>0</v>
      </c>
      <c r="P46" s="605">
        <v>0</v>
      </c>
      <c r="Q46" s="299">
        <f t="shared" si="0"/>
        <v>0</v>
      </c>
      <c r="R46" s="605">
        <v>66</v>
      </c>
      <c r="S46" s="605">
        <v>0</v>
      </c>
      <c r="T46" s="605">
        <v>0</v>
      </c>
      <c r="U46" s="605">
        <v>0</v>
      </c>
      <c r="V46" s="605">
        <v>0</v>
      </c>
      <c r="W46" s="605">
        <v>-1</v>
      </c>
      <c r="X46" s="605">
        <v>510</v>
      </c>
      <c r="Y46" s="605">
        <v>0</v>
      </c>
      <c r="Z46" s="605">
        <v>0</v>
      </c>
      <c r="AA46" s="605">
        <v>0</v>
      </c>
      <c r="AB46" s="605">
        <v>18</v>
      </c>
      <c r="AC46" s="605">
        <v>0</v>
      </c>
      <c r="AD46" s="605">
        <v>0</v>
      </c>
      <c r="AE46" s="299">
        <f t="shared" si="1"/>
        <v>593</v>
      </c>
    </row>
    <row r="47" spans="1:31" customFormat="1" ht="12.75" customHeight="1" x14ac:dyDescent="0.25">
      <c r="A47" s="290" t="s">
        <v>1108</v>
      </c>
      <c r="B47" s="294"/>
      <c r="C47" s="295" t="s">
        <v>1109</v>
      </c>
      <c r="D47" s="296"/>
      <c r="E47" s="296"/>
      <c r="F47" s="296"/>
      <c r="G47" s="297"/>
      <c r="H47" s="605">
        <v>0</v>
      </c>
      <c r="I47" s="605">
        <v>0</v>
      </c>
      <c r="J47" s="605">
        <v>0</v>
      </c>
      <c r="K47" s="605">
        <v>0</v>
      </c>
      <c r="L47" s="605">
        <v>0</v>
      </c>
      <c r="M47" s="605">
        <v>165</v>
      </c>
      <c r="N47" s="605">
        <v>0</v>
      </c>
      <c r="O47" s="605">
        <v>0</v>
      </c>
      <c r="P47" s="605">
        <v>93</v>
      </c>
      <c r="Q47" s="299">
        <f t="shared" si="0"/>
        <v>258</v>
      </c>
      <c r="R47" s="605">
        <v>83</v>
      </c>
      <c r="S47" s="605">
        <v>0</v>
      </c>
      <c r="T47" s="605">
        <v>0</v>
      </c>
      <c r="U47" s="605">
        <v>0</v>
      </c>
      <c r="V47" s="605">
        <v>0</v>
      </c>
      <c r="W47" s="605">
        <v>2</v>
      </c>
      <c r="X47" s="605">
        <v>0</v>
      </c>
      <c r="Y47" s="605">
        <v>3</v>
      </c>
      <c r="Z47" s="605">
        <v>0</v>
      </c>
      <c r="AA47" s="605">
        <v>0</v>
      </c>
      <c r="AB47" s="605">
        <v>321</v>
      </c>
      <c r="AC47" s="605">
        <v>0</v>
      </c>
      <c r="AD47" s="605">
        <v>0</v>
      </c>
      <c r="AE47" s="299">
        <f t="shared" si="1"/>
        <v>667</v>
      </c>
    </row>
    <row r="48" spans="1:31" customFormat="1" ht="12.75" customHeight="1" x14ac:dyDescent="0.25">
      <c r="A48" s="290" t="s">
        <v>1110</v>
      </c>
      <c r="B48" s="294"/>
      <c r="C48" s="295" t="s">
        <v>1111</v>
      </c>
      <c r="D48" s="296"/>
      <c r="E48" s="296"/>
      <c r="F48" s="296"/>
      <c r="G48" s="297"/>
      <c r="H48" s="605">
        <v>0</v>
      </c>
      <c r="I48" s="605">
        <v>0</v>
      </c>
      <c r="J48" s="605">
        <v>0</v>
      </c>
      <c r="K48" s="605">
        <v>583</v>
      </c>
      <c r="L48" s="605">
        <v>0</v>
      </c>
      <c r="M48" s="605">
        <v>598</v>
      </c>
      <c r="N48" s="605">
        <v>0</v>
      </c>
      <c r="O48" s="605">
        <v>0</v>
      </c>
      <c r="P48" s="605">
        <v>7</v>
      </c>
      <c r="Q48" s="299">
        <f t="shared" si="0"/>
        <v>1188</v>
      </c>
      <c r="R48" s="605">
        <v>181</v>
      </c>
      <c r="S48" s="605">
        <v>0</v>
      </c>
      <c r="T48" s="605">
        <v>0</v>
      </c>
      <c r="U48" s="605">
        <v>0</v>
      </c>
      <c r="V48" s="605">
        <v>0</v>
      </c>
      <c r="W48" s="605">
        <v>90</v>
      </c>
      <c r="X48" s="605">
        <v>36</v>
      </c>
      <c r="Y48" s="605">
        <v>0</v>
      </c>
      <c r="Z48" s="605">
        <v>0</v>
      </c>
      <c r="AA48" s="605">
        <v>127</v>
      </c>
      <c r="AB48" s="605">
        <v>20</v>
      </c>
      <c r="AC48" s="605">
        <v>0</v>
      </c>
      <c r="AD48" s="605">
        <v>26</v>
      </c>
      <c r="AE48" s="299">
        <f t="shared" si="1"/>
        <v>1668</v>
      </c>
    </row>
    <row r="49" spans="1:31" customFormat="1" ht="12.75" customHeight="1" x14ac:dyDescent="0.25">
      <c r="A49" s="290" t="s">
        <v>1112</v>
      </c>
      <c r="B49" s="294"/>
      <c r="C49" s="295" t="s">
        <v>1113</v>
      </c>
      <c r="D49" s="296"/>
      <c r="E49" s="296"/>
      <c r="F49" s="296"/>
      <c r="G49" s="297"/>
      <c r="H49" s="605">
        <v>0</v>
      </c>
      <c r="I49" s="605">
        <v>0</v>
      </c>
      <c r="J49" s="605">
        <v>0</v>
      </c>
      <c r="K49" s="605">
        <v>0</v>
      </c>
      <c r="L49" s="605">
        <v>0</v>
      </c>
      <c r="M49" s="605">
        <v>41</v>
      </c>
      <c r="N49" s="605">
        <v>0</v>
      </c>
      <c r="O49" s="605">
        <v>0</v>
      </c>
      <c r="P49" s="605">
        <v>76</v>
      </c>
      <c r="Q49" s="299">
        <f t="shared" si="0"/>
        <v>117</v>
      </c>
      <c r="R49" s="605">
        <v>34</v>
      </c>
      <c r="S49" s="605">
        <v>32</v>
      </c>
      <c r="T49" s="605">
        <v>89</v>
      </c>
      <c r="U49" s="605">
        <v>0</v>
      </c>
      <c r="V49" s="605">
        <v>0</v>
      </c>
      <c r="W49" s="605">
        <v>-1</v>
      </c>
      <c r="X49" s="605">
        <v>2</v>
      </c>
      <c r="Y49" s="605">
        <v>0</v>
      </c>
      <c r="Z49" s="605">
        <v>0</v>
      </c>
      <c r="AA49" s="605">
        <v>0</v>
      </c>
      <c r="AB49" s="605">
        <v>0</v>
      </c>
      <c r="AC49" s="605">
        <v>0</v>
      </c>
      <c r="AD49" s="605">
        <v>0</v>
      </c>
      <c r="AE49" s="299">
        <f t="shared" si="1"/>
        <v>273</v>
      </c>
    </row>
    <row r="50" spans="1:31" customFormat="1" ht="12.75" customHeight="1" x14ac:dyDescent="0.25">
      <c r="A50" s="290" t="s">
        <v>1114</v>
      </c>
      <c r="B50" s="294"/>
      <c r="C50" s="295" t="s">
        <v>1115</v>
      </c>
      <c r="D50" s="296"/>
      <c r="E50" s="296"/>
      <c r="F50" s="296"/>
      <c r="G50" s="297"/>
      <c r="H50" s="605">
        <v>0</v>
      </c>
      <c r="I50" s="605">
        <v>0</v>
      </c>
      <c r="J50" s="605">
        <v>0</v>
      </c>
      <c r="K50" s="605">
        <v>0</v>
      </c>
      <c r="L50" s="605">
        <v>0</v>
      </c>
      <c r="M50" s="605">
        <v>0</v>
      </c>
      <c r="N50" s="605">
        <v>0</v>
      </c>
      <c r="O50" s="605">
        <v>0</v>
      </c>
      <c r="P50" s="605">
        <v>0</v>
      </c>
      <c r="Q50" s="299">
        <f t="shared" si="0"/>
        <v>0</v>
      </c>
      <c r="R50" s="605">
        <v>0</v>
      </c>
      <c r="S50" s="605">
        <v>0</v>
      </c>
      <c r="T50" s="605">
        <v>0</v>
      </c>
      <c r="U50" s="605">
        <v>0</v>
      </c>
      <c r="V50" s="605">
        <v>0</v>
      </c>
      <c r="W50" s="605">
        <v>0</v>
      </c>
      <c r="X50" s="605">
        <v>0</v>
      </c>
      <c r="Y50" s="605">
        <v>0</v>
      </c>
      <c r="Z50" s="605">
        <v>0</v>
      </c>
      <c r="AA50" s="605">
        <v>0</v>
      </c>
      <c r="AB50" s="605">
        <v>0</v>
      </c>
      <c r="AC50" s="605">
        <v>0</v>
      </c>
      <c r="AD50" s="605">
        <v>0</v>
      </c>
      <c r="AE50" s="299">
        <f t="shared" si="1"/>
        <v>0</v>
      </c>
    </row>
    <row r="51" spans="1:31" customFormat="1" ht="12.75" customHeight="1" x14ac:dyDescent="0.25">
      <c r="A51" s="290" t="s">
        <v>1116</v>
      </c>
      <c r="B51" s="300" t="s">
        <v>1117</v>
      </c>
      <c r="C51" s="301"/>
      <c r="D51" s="301"/>
      <c r="E51" s="301"/>
      <c r="F51" s="301"/>
      <c r="G51" s="302"/>
      <c r="H51" s="275">
        <f t="shared" ref="H51:AE51" si="2">SUM(H6:H50)</f>
        <v>21800</v>
      </c>
      <c r="I51" s="275">
        <f t="shared" si="2"/>
        <v>34056</v>
      </c>
      <c r="J51" s="275">
        <f t="shared" si="2"/>
        <v>6644</v>
      </c>
      <c r="K51" s="275">
        <f t="shared" si="2"/>
        <v>26100</v>
      </c>
      <c r="L51" s="275">
        <f t="shared" si="2"/>
        <v>8158</v>
      </c>
      <c r="M51" s="275">
        <f t="shared" si="2"/>
        <v>1642</v>
      </c>
      <c r="N51" s="275">
        <f t="shared" si="2"/>
        <v>10955</v>
      </c>
      <c r="O51" s="275">
        <f t="shared" si="2"/>
        <v>66</v>
      </c>
      <c r="P51" s="275">
        <f t="shared" si="2"/>
        <v>1382</v>
      </c>
      <c r="Q51" s="275">
        <f t="shared" si="2"/>
        <v>110803</v>
      </c>
      <c r="R51" s="275">
        <f t="shared" si="2"/>
        <v>64411</v>
      </c>
      <c r="S51" s="275">
        <f t="shared" si="2"/>
        <v>437</v>
      </c>
      <c r="T51" s="275">
        <f t="shared" si="2"/>
        <v>30928</v>
      </c>
      <c r="U51" s="275">
        <f t="shared" si="2"/>
        <v>0</v>
      </c>
      <c r="V51" s="275">
        <f t="shared" si="2"/>
        <v>8803</v>
      </c>
      <c r="W51" s="275">
        <f t="shared" si="2"/>
        <v>6207</v>
      </c>
      <c r="X51" s="275">
        <f t="shared" si="2"/>
        <v>36045</v>
      </c>
      <c r="Y51" s="275">
        <f t="shared" si="2"/>
        <v>198</v>
      </c>
      <c r="Z51" s="275">
        <f t="shared" si="2"/>
        <v>2620</v>
      </c>
      <c r="AA51" s="275">
        <f t="shared" si="2"/>
        <v>1068</v>
      </c>
      <c r="AB51" s="275">
        <f t="shared" si="2"/>
        <v>6498</v>
      </c>
      <c r="AC51" s="275">
        <f t="shared" si="2"/>
        <v>5104</v>
      </c>
      <c r="AD51" s="275">
        <f t="shared" si="2"/>
        <v>9203</v>
      </c>
      <c r="AE51" s="275">
        <f t="shared" si="2"/>
        <v>282325</v>
      </c>
    </row>
    <row r="52" spans="1:31" customFormat="1" ht="12.75" customHeight="1" x14ac:dyDescent="0.25">
      <c r="A52" s="290"/>
      <c r="B52" s="181"/>
      <c r="C52" s="296"/>
      <c r="D52" s="296"/>
      <c r="E52" s="296"/>
      <c r="F52" s="296"/>
      <c r="G52" s="303"/>
      <c r="H52" s="304"/>
      <c r="I52" s="304"/>
      <c r="J52" s="304"/>
      <c r="K52" s="304"/>
      <c r="L52" s="304"/>
      <c r="M52" s="304"/>
      <c r="N52" s="304"/>
      <c r="O52" s="304"/>
      <c r="P52" s="304"/>
      <c r="Q52" s="274"/>
      <c r="R52" s="274"/>
      <c r="S52" s="274"/>
      <c r="T52" s="274"/>
      <c r="U52" s="274"/>
      <c r="V52" s="274"/>
      <c r="W52" s="274"/>
      <c r="X52" s="274"/>
      <c r="Y52" s="274"/>
      <c r="Z52" s="274"/>
      <c r="AA52" s="274"/>
      <c r="AB52" s="274"/>
      <c r="AC52" s="274"/>
      <c r="AD52" s="274"/>
      <c r="AE52" s="274"/>
    </row>
    <row r="53" spans="1:31" customFormat="1" ht="12.75" customHeight="1" x14ac:dyDescent="0.25">
      <c r="A53" s="290">
        <v>2</v>
      </c>
      <c r="B53" s="294" t="s">
        <v>1118</v>
      </c>
      <c r="C53" s="295"/>
      <c r="D53" s="295"/>
      <c r="E53" s="295"/>
      <c r="F53" s="295"/>
      <c r="G53" s="305"/>
      <c r="H53" s="605">
        <v>0</v>
      </c>
      <c r="I53" s="605">
        <v>0</v>
      </c>
      <c r="J53" s="605">
        <v>0</v>
      </c>
      <c r="K53" s="605">
        <v>1828</v>
      </c>
      <c r="L53" s="605">
        <v>165</v>
      </c>
      <c r="M53" s="605">
        <v>0</v>
      </c>
      <c r="N53" s="605">
        <v>0</v>
      </c>
      <c r="O53" s="605">
        <v>0</v>
      </c>
      <c r="P53" s="605">
        <v>0</v>
      </c>
      <c r="Q53" s="299">
        <f>SUM(H53:P53)</f>
        <v>1993</v>
      </c>
      <c r="R53" s="605">
        <v>638</v>
      </c>
      <c r="S53" s="605">
        <v>0</v>
      </c>
      <c r="T53" s="605">
        <v>-449</v>
      </c>
      <c r="U53" s="605">
        <v>0</v>
      </c>
      <c r="V53" s="605">
        <v>0</v>
      </c>
      <c r="W53" s="605">
        <v>0</v>
      </c>
      <c r="X53" s="605">
        <v>217</v>
      </c>
      <c r="Y53" s="605">
        <v>0</v>
      </c>
      <c r="Z53" s="605">
        <v>0</v>
      </c>
      <c r="AA53" s="605">
        <v>0</v>
      </c>
      <c r="AB53" s="605">
        <v>0</v>
      </c>
      <c r="AC53" s="605">
        <v>0</v>
      </c>
      <c r="AD53" s="605">
        <v>0</v>
      </c>
      <c r="AE53" s="299">
        <f>SUM(Q53:AD53)</f>
        <v>2399</v>
      </c>
    </row>
    <row r="54" spans="1:31" customFormat="1" ht="12.75" customHeight="1" x14ac:dyDescent="0.25">
      <c r="A54" s="290"/>
      <c r="B54" s="181"/>
      <c r="C54" s="296"/>
      <c r="D54" s="296"/>
      <c r="E54" s="296"/>
      <c r="F54" s="296"/>
      <c r="G54" s="303"/>
      <c r="H54" s="304"/>
      <c r="I54" s="304"/>
      <c r="J54" s="304"/>
      <c r="K54" s="304"/>
      <c r="L54" s="304"/>
      <c r="M54" s="304"/>
      <c r="N54" s="304"/>
      <c r="O54" s="304"/>
      <c r="P54" s="304"/>
      <c r="Q54" s="274"/>
      <c r="R54" s="274"/>
      <c r="S54" s="274"/>
      <c r="T54" s="274"/>
      <c r="U54" s="274"/>
      <c r="V54" s="274"/>
      <c r="W54" s="274"/>
      <c r="X54" s="274"/>
      <c r="Y54" s="274"/>
      <c r="Z54" s="274"/>
      <c r="AA54" s="274"/>
      <c r="AB54" s="274"/>
      <c r="AC54" s="274"/>
      <c r="AD54" s="274"/>
      <c r="AE54" s="274"/>
    </row>
    <row r="55" spans="1:31" customFormat="1" ht="12.75" customHeight="1" x14ac:dyDescent="0.25">
      <c r="A55" s="290">
        <v>3</v>
      </c>
      <c r="B55" s="291" t="s">
        <v>1119</v>
      </c>
      <c r="C55" s="292"/>
      <c r="D55" s="292"/>
      <c r="E55" s="292"/>
      <c r="F55" s="292"/>
      <c r="G55" s="293"/>
      <c r="H55" s="306"/>
      <c r="I55" s="306"/>
      <c r="J55" s="306"/>
      <c r="K55" s="306"/>
      <c r="L55" s="306"/>
      <c r="M55" s="306"/>
      <c r="N55" s="306"/>
      <c r="O55" s="306"/>
      <c r="P55" s="306"/>
      <c r="Q55" s="154"/>
      <c r="R55" s="154"/>
      <c r="S55" s="154"/>
      <c r="T55" s="154"/>
      <c r="U55" s="154"/>
      <c r="V55" s="154"/>
      <c r="W55" s="154"/>
      <c r="X55" s="154"/>
      <c r="Y55" s="154"/>
      <c r="Z55" s="154"/>
      <c r="AA55" s="154"/>
      <c r="AB55" s="154"/>
      <c r="AC55" s="154"/>
      <c r="AD55" s="154"/>
      <c r="AE55" s="154"/>
    </row>
    <row r="56" spans="1:31" customFormat="1" ht="12.75" customHeight="1" x14ac:dyDescent="0.25">
      <c r="A56" s="290" t="s">
        <v>876</v>
      </c>
      <c r="B56" s="307"/>
      <c r="C56" s="295" t="s">
        <v>1120</v>
      </c>
      <c r="D56" s="296"/>
      <c r="E56" s="296"/>
      <c r="F56" s="296"/>
      <c r="G56" s="297"/>
      <c r="H56" s="605">
        <v>0</v>
      </c>
      <c r="I56" s="605">
        <v>0</v>
      </c>
      <c r="J56" s="605">
        <v>0</v>
      </c>
      <c r="K56" s="605">
        <v>7</v>
      </c>
      <c r="L56" s="605">
        <v>783</v>
      </c>
      <c r="M56" s="605">
        <v>0</v>
      </c>
      <c r="N56" s="605">
        <v>0</v>
      </c>
      <c r="O56" s="605">
        <v>0</v>
      </c>
      <c r="P56" s="605">
        <v>0</v>
      </c>
      <c r="Q56" s="299">
        <f>SUM(H56:P56)</f>
        <v>790</v>
      </c>
      <c r="R56" s="605">
        <v>0</v>
      </c>
      <c r="S56" s="605">
        <v>0</v>
      </c>
      <c r="T56" s="605">
        <v>22</v>
      </c>
      <c r="U56" s="605">
        <v>0</v>
      </c>
      <c r="V56" s="605">
        <v>0</v>
      </c>
      <c r="W56" s="605">
        <v>48</v>
      </c>
      <c r="X56" s="605">
        <v>92</v>
      </c>
      <c r="Y56" s="605">
        <v>0</v>
      </c>
      <c r="Z56" s="605">
        <v>0</v>
      </c>
      <c r="AA56" s="605">
        <v>0</v>
      </c>
      <c r="AB56" s="605">
        <v>0</v>
      </c>
      <c r="AC56" s="605">
        <v>0</v>
      </c>
      <c r="AD56" s="605">
        <v>0</v>
      </c>
      <c r="AE56" s="299">
        <f>SUM(Q56:AD56)</f>
        <v>952</v>
      </c>
    </row>
    <row r="57" spans="1:31" customFormat="1" ht="12.75" customHeight="1" x14ac:dyDescent="0.25">
      <c r="A57" s="290" t="s">
        <v>878</v>
      </c>
      <c r="B57" s="307"/>
      <c r="C57" s="295" t="s">
        <v>1121</v>
      </c>
      <c r="D57" s="296"/>
      <c r="E57" s="296"/>
      <c r="F57" s="296"/>
      <c r="G57" s="297"/>
      <c r="H57" s="605">
        <v>0</v>
      </c>
      <c r="I57" s="605">
        <v>0</v>
      </c>
      <c r="J57" s="605">
        <v>0</v>
      </c>
      <c r="K57" s="605">
        <v>0</v>
      </c>
      <c r="L57" s="605">
        <v>0</v>
      </c>
      <c r="M57" s="605">
        <v>0</v>
      </c>
      <c r="N57" s="605">
        <v>0</v>
      </c>
      <c r="O57" s="605">
        <v>0</v>
      </c>
      <c r="P57" s="605">
        <v>0</v>
      </c>
      <c r="Q57" s="299">
        <f>SUM(H57:P57)</f>
        <v>0</v>
      </c>
      <c r="R57" s="605">
        <v>0</v>
      </c>
      <c r="S57" s="605">
        <v>0</v>
      </c>
      <c r="T57" s="605">
        <v>0</v>
      </c>
      <c r="U57" s="605">
        <v>0</v>
      </c>
      <c r="V57" s="605">
        <v>0</v>
      </c>
      <c r="W57" s="605">
        <v>-22</v>
      </c>
      <c r="X57" s="605">
        <v>0</v>
      </c>
      <c r="Y57" s="605">
        <v>0</v>
      </c>
      <c r="Z57" s="605">
        <v>0</v>
      </c>
      <c r="AA57" s="605">
        <v>0</v>
      </c>
      <c r="AB57" s="605">
        <v>0</v>
      </c>
      <c r="AC57" s="605">
        <v>0</v>
      </c>
      <c r="AD57" s="605">
        <v>0</v>
      </c>
      <c r="AE57" s="299">
        <f>SUM(Q57:AD57)</f>
        <v>-22</v>
      </c>
    </row>
    <row r="58" spans="1:31" customFormat="1" ht="12.75" customHeight="1" x14ac:dyDescent="0.25">
      <c r="A58" s="290" t="s">
        <v>880</v>
      </c>
      <c r="B58" s="307"/>
      <c r="C58" s="295" t="s">
        <v>1122</v>
      </c>
      <c r="D58" s="296"/>
      <c r="E58" s="296"/>
      <c r="F58" s="296"/>
      <c r="G58" s="297"/>
      <c r="H58" s="605">
        <v>0</v>
      </c>
      <c r="I58" s="605">
        <v>0</v>
      </c>
      <c r="J58" s="605">
        <v>0</v>
      </c>
      <c r="K58" s="605">
        <v>0</v>
      </c>
      <c r="L58" s="605">
        <v>0</v>
      </c>
      <c r="M58" s="605">
        <v>0</v>
      </c>
      <c r="N58" s="605">
        <v>0</v>
      </c>
      <c r="O58" s="605">
        <v>0</v>
      </c>
      <c r="P58" s="605">
        <v>0</v>
      </c>
      <c r="Q58" s="299">
        <f>SUM(H58:P58)</f>
        <v>0</v>
      </c>
      <c r="R58" s="605">
        <v>0</v>
      </c>
      <c r="S58" s="605">
        <v>0</v>
      </c>
      <c r="T58" s="605">
        <v>0</v>
      </c>
      <c r="U58" s="605">
        <v>0</v>
      </c>
      <c r="V58" s="605">
        <v>0</v>
      </c>
      <c r="W58" s="605">
        <v>0</v>
      </c>
      <c r="X58" s="605">
        <v>0</v>
      </c>
      <c r="Y58" s="605">
        <v>0</v>
      </c>
      <c r="Z58" s="605">
        <v>0</v>
      </c>
      <c r="AA58" s="605">
        <v>0</v>
      </c>
      <c r="AB58" s="605">
        <v>0</v>
      </c>
      <c r="AC58" s="605">
        <v>0</v>
      </c>
      <c r="AD58" s="605">
        <v>0</v>
      </c>
      <c r="AE58" s="299">
        <f>SUM(Q58:AD58)</f>
        <v>0</v>
      </c>
    </row>
    <row r="59" spans="1:31" customFormat="1" ht="12.75" customHeight="1" x14ac:dyDescent="0.25">
      <c r="A59" s="290" t="s">
        <v>882</v>
      </c>
      <c r="B59" s="300" t="s">
        <v>1123</v>
      </c>
      <c r="C59" s="301"/>
      <c r="D59" s="301"/>
      <c r="E59" s="301"/>
      <c r="F59" s="301"/>
      <c r="G59" s="302"/>
      <c r="H59" s="275">
        <f t="shared" ref="H59:AE59" si="3">SUM(H56:H58)</f>
        <v>0</v>
      </c>
      <c r="I59" s="275">
        <f t="shared" si="3"/>
        <v>0</v>
      </c>
      <c r="J59" s="275">
        <f t="shared" si="3"/>
        <v>0</v>
      </c>
      <c r="K59" s="275">
        <f t="shared" si="3"/>
        <v>7</v>
      </c>
      <c r="L59" s="275">
        <f t="shared" si="3"/>
        <v>783</v>
      </c>
      <c r="M59" s="275">
        <f t="shared" si="3"/>
        <v>0</v>
      </c>
      <c r="N59" s="275">
        <f t="shared" si="3"/>
        <v>0</v>
      </c>
      <c r="O59" s="275">
        <f t="shared" si="3"/>
        <v>0</v>
      </c>
      <c r="P59" s="275">
        <f t="shared" si="3"/>
        <v>0</v>
      </c>
      <c r="Q59" s="275">
        <f t="shared" si="3"/>
        <v>790</v>
      </c>
      <c r="R59" s="275">
        <f t="shared" si="3"/>
        <v>0</v>
      </c>
      <c r="S59" s="275">
        <f t="shared" si="3"/>
        <v>0</v>
      </c>
      <c r="T59" s="275">
        <f t="shared" si="3"/>
        <v>22</v>
      </c>
      <c r="U59" s="275">
        <f t="shared" si="3"/>
        <v>0</v>
      </c>
      <c r="V59" s="275">
        <f t="shared" si="3"/>
        <v>0</v>
      </c>
      <c r="W59" s="275">
        <f t="shared" si="3"/>
        <v>26</v>
      </c>
      <c r="X59" s="275">
        <f t="shared" si="3"/>
        <v>92</v>
      </c>
      <c r="Y59" s="275">
        <f t="shared" si="3"/>
        <v>0</v>
      </c>
      <c r="Z59" s="275">
        <f t="shared" si="3"/>
        <v>0</v>
      </c>
      <c r="AA59" s="275">
        <f t="shared" si="3"/>
        <v>0</v>
      </c>
      <c r="AB59" s="275">
        <f t="shared" si="3"/>
        <v>0</v>
      </c>
      <c r="AC59" s="275">
        <f t="shared" si="3"/>
        <v>0</v>
      </c>
      <c r="AD59" s="275">
        <f t="shared" si="3"/>
        <v>0</v>
      </c>
      <c r="AE59" s="275">
        <f t="shared" si="3"/>
        <v>930</v>
      </c>
    </row>
    <row r="60" spans="1:31" customFormat="1" ht="12.75" customHeight="1" x14ac:dyDescent="0.25">
      <c r="A60" s="290"/>
      <c r="B60" s="308"/>
      <c r="C60" s="309"/>
      <c r="D60" s="309"/>
      <c r="E60" s="309"/>
      <c r="F60" s="309"/>
      <c r="G60" s="310"/>
      <c r="H60" s="304"/>
      <c r="I60" s="304"/>
      <c r="J60" s="304"/>
      <c r="K60" s="304"/>
      <c r="L60" s="304"/>
      <c r="M60" s="304"/>
      <c r="N60" s="304"/>
      <c r="O60" s="304"/>
      <c r="P60" s="304"/>
      <c r="Q60" s="274"/>
      <c r="R60" s="274"/>
      <c r="S60" s="274"/>
      <c r="T60" s="274"/>
      <c r="U60" s="274"/>
      <c r="V60" s="274"/>
      <c r="W60" s="274"/>
      <c r="X60" s="274"/>
      <c r="Y60" s="274"/>
      <c r="Z60" s="274"/>
      <c r="AA60" s="274"/>
      <c r="AB60" s="274"/>
      <c r="AC60" s="274"/>
      <c r="AD60" s="274"/>
      <c r="AE60" s="274"/>
    </row>
    <row r="61" spans="1:31" customFormat="1" ht="12.75" customHeight="1" x14ac:dyDescent="0.25">
      <c r="A61" s="290">
        <v>4</v>
      </c>
      <c r="B61" s="300" t="s">
        <v>1124</v>
      </c>
      <c r="C61" s="301"/>
      <c r="D61" s="301"/>
      <c r="E61" s="301"/>
      <c r="F61" s="301"/>
      <c r="G61" s="302"/>
      <c r="H61" s="275">
        <f t="shared" ref="H61:P61" si="4">H51+H53+H59</f>
        <v>21800</v>
      </c>
      <c r="I61" s="275">
        <f t="shared" si="4"/>
        <v>34056</v>
      </c>
      <c r="J61" s="275">
        <f t="shared" si="4"/>
        <v>6644</v>
      </c>
      <c r="K61" s="275">
        <f t="shared" si="4"/>
        <v>27935</v>
      </c>
      <c r="L61" s="275">
        <f t="shared" si="4"/>
        <v>9106</v>
      </c>
      <c r="M61" s="275">
        <f t="shared" si="4"/>
        <v>1642</v>
      </c>
      <c r="N61" s="275">
        <f t="shared" si="4"/>
        <v>10955</v>
      </c>
      <c r="O61" s="275">
        <f t="shared" si="4"/>
        <v>66</v>
      </c>
      <c r="P61" s="275">
        <f t="shared" si="4"/>
        <v>1382</v>
      </c>
      <c r="Q61" s="275">
        <f>SUM(H61:P61)</f>
        <v>113586</v>
      </c>
      <c r="R61" s="275">
        <f t="shared" ref="R61:AE61" si="5">R51+R53+R59</f>
        <v>65049</v>
      </c>
      <c r="S61" s="275">
        <f t="shared" si="5"/>
        <v>437</v>
      </c>
      <c r="T61" s="275">
        <f t="shared" si="5"/>
        <v>30501</v>
      </c>
      <c r="U61" s="275">
        <f t="shared" si="5"/>
        <v>0</v>
      </c>
      <c r="V61" s="275">
        <f t="shared" si="5"/>
        <v>8803</v>
      </c>
      <c r="W61" s="275">
        <f t="shared" si="5"/>
        <v>6233</v>
      </c>
      <c r="X61" s="275">
        <f t="shared" si="5"/>
        <v>36354</v>
      </c>
      <c r="Y61" s="275">
        <f t="shared" si="5"/>
        <v>198</v>
      </c>
      <c r="Z61" s="275">
        <f t="shared" si="5"/>
        <v>2620</v>
      </c>
      <c r="AA61" s="275">
        <f t="shared" si="5"/>
        <v>1068</v>
      </c>
      <c r="AB61" s="275">
        <f t="shared" si="5"/>
        <v>6498</v>
      </c>
      <c r="AC61" s="275">
        <f t="shared" si="5"/>
        <v>5104</v>
      </c>
      <c r="AD61" s="275">
        <f t="shared" si="5"/>
        <v>9203</v>
      </c>
      <c r="AE61" s="275">
        <f t="shared" si="5"/>
        <v>285654</v>
      </c>
    </row>
    <row r="62" spans="1:31" customFormat="1" ht="12.75" customHeight="1" x14ac:dyDescent="0.25">
      <c r="A62" s="290"/>
      <c r="B62" s="308"/>
      <c r="C62" s="309"/>
      <c r="D62" s="309"/>
      <c r="E62" s="309"/>
      <c r="F62" s="309"/>
      <c r="G62" s="310"/>
      <c r="H62" s="304"/>
      <c r="I62" s="304"/>
      <c r="J62" s="304"/>
      <c r="K62" s="304"/>
      <c r="L62" s="304"/>
      <c r="M62" s="304"/>
      <c r="N62" s="304"/>
      <c r="O62" s="304"/>
      <c r="P62" s="304"/>
      <c r="Q62" s="274"/>
      <c r="R62" s="274"/>
      <c r="S62" s="274"/>
      <c r="T62" s="274"/>
      <c r="U62" s="274"/>
      <c r="V62" s="274"/>
      <c r="W62" s="274"/>
      <c r="X62" s="274"/>
      <c r="Y62" s="274"/>
      <c r="Z62" s="274"/>
      <c r="AA62" s="274"/>
      <c r="AB62" s="274"/>
      <c r="AC62" s="274"/>
      <c r="AD62" s="274"/>
      <c r="AE62" s="274"/>
    </row>
    <row r="63" spans="1:31" customFormat="1" ht="26.25" customHeight="1" x14ac:dyDescent="0.25">
      <c r="A63" s="290">
        <v>5</v>
      </c>
      <c r="B63" s="620" t="s">
        <v>1125</v>
      </c>
      <c r="C63" s="621"/>
      <c r="D63" s="309"/>
      <c r="E63" s="309"/>
      <c r="F63" s="309"/>
      <c r="G63" s="310"/>
      <c r="H63" s="298">
        <v>0</v>
      </c>
      <c r="I63" s="298">
        <v>0</v>
      </c>
      <c r="J63" s="298">
        <v>0</v>
      </c>
      <c r="K63" s="298">
        <v>0</v>
      </c>
      <c r="L63" s="298">
        <v>0</v>
      </c>
      <c r="M63" s="298">
        <v>0</v>
      </c>
      <c r="N63" s="298">
        <v>0</v>
      </c>
      <c r="O63" s="298">
        <v>0</v>
      </c>
      <c r="P63" s="298">
        <v>0</v>
      </c>
      <c r="Q63" s="299">
        <f>SUM(H63:P63)</f>
        <v>0</v>
      </c>
      <c r="R63" s="298">
        <v>0</v>
      </c>
      <c r="S63" s="298">
        <v>0</v>
      </c>
      <c r="T63" s="298">
        <v>0</v>
      </c>
      <c r="U63" s="298">
        <v>0</v>
      </c>
      <c r="V63" s="298">
        <v>0</v>
      </c>
      <c r="W63" s="298">
        <v>0</v>
      </c>
      <c r="X63" s="298">
        <v>0</v>
      </c>
      <c r="Y63" s="298">
        <v>0</v>
      </c>
      <c r="Z63" s="298">
        <v>0</v>
      </c>
      <c r="AA63" s="298">
        <v>0</v>
      </c>
      <c r="AB63" s="298">
        <v>0</v>
      </c>
      <c r="AC63" s="298">
        <v>0</v>
      </c>
      <c r="AD63" s="298">
        <v>0</v>
      </c>
      <c r="AE63" s="299">
        <f>SUM(Q63:AD63)</f>
        <v>0</v>
      </c>
    </row>
    <row r="65" spans="2:7" x14ac:dyDescent="0.2">
      <c r="B65" s="311"/>
      <c r="C65" s="311"/>
      <c r="D65" s="311"/>
      <c r="E65" s="311"/>
      <c r="F65" s="311"/>
      <c r="G65" s="311"/>
    </row>
  </sheetData>
  <sheetProtection algorithmName="SHA-512" hashValue="EKcLxnSfmyAT8lSE6O4VzR7gzYeRVb9VbbIDqkzMWaWQ7iFdZkxXpm5SS4Kt6Wz/e+BahNgojrPZluUCRcVBMQ==" saltValue="+7fh26LJoX+qEAuTtEsObA==" spinCount="100000" sheet="1" objects="1" scenarios="1"/>
  <mergeCells count="3">
    <mergeCell ref="H1:Q1"/>
    <mergeCell ref="B63:C63"/>
    <mergeCell ref="B1:C1"/>
  </mergeCells>
  <dataValidations xWindow="1514" yWindow="908" count="8">
    <dataValidation type="whole" operator="greaterThan" allowBlank="1" showInputMessage="1" showErrorMessage="1" errorTitle="Whole numbers only allowed" error="All monies should be independently rounded to the nearest £1,000." sqref="R6:AD50">
      <formula1>-99999999</formula1>
    </dataValidation>
    <dataValidation type="whole" operator="greaterThan" allowBlank="1" showInputMessage="1" showErrorMessage="1" errorTitle="Whole numbers only allowed" error="All monies should be independently rounded to the nearest £1,000." sqref="R53:AD53">
      <formula1>-99999999</formula1>
    </dataValidation>
    <dataValidation type="whole" operator="greaterThan" allowBlank="1" showInputMessage="1" showErrorMessage="1" errorTitle="Whole numbers only allowed" error="All monies should be independently rounded to the nearest £1,000." sqref="R56:AD58">
      <formula1>-99999999</formula1>
    </dataValidation>
    <dataValidation type="whole" operator="greaterThan" allowBlank="1" showInputMessage="1" showErrorMessage="1" errorTitle="Whole numbers only allowed" error="All monies should be independently rounded to the nearest £1,000." sqref="R63:AD63">
      <formula1>-99999999</formula1>
    </dataValidation>
    <dataValidation type="whole" operator="greaterThan" allowBlank="1" showInputMessage="1" showErrorMessage="1" errorTitle="Whole numbers only allowed" error="All monies should be independently rounded to the nearest £1,000." sqref="H63:P63">
      <formula1>-99999999</formula1>
    </dataValidation>
    <dataValidation type="whole" operator="greaterThan" allowBlank="1" showInputMessage="1" showErrorMessage="1" errorTitle="Whole numbers only allowed" error="All monies should be independently rounded to the nearest £1,000." sqref="H56:P58">
      <formula1>-99999999</formula1>
    </dataValidation>
    <dataValidation type="whole" operator="greaterThan" allowBlank="1" showInputMessage="1" showErrorMessage="1" errorTitle="Whole numbers only allowed" error="All monies should be independently rounded to the nearest £1,000." sqref="H53:P53">
      <formula1>-99999999</formula1>
    </dataValidation>
    <dataValidation type="whole" operator="greaterThan" allowBlank="1" showInputMessage="1" showErrorMessage="1" errorTitle="Whole numbers only allowed" error="All monies should be independently rounded to the nearest £1,000." sqref="H6:P50">
      <formula1>-99999999</formula1>
    </dataValidation>
  </dataValidations>
  <printOptions headings="1" gridLines="1"/>
  <pageMargins left="0.31496062992125984" right="0.31496062992125984" top="0.74803149606299213" bottom="0.74803149606299213" header="0.31496062992125984" footer="0.31496062992125984"/>
  <pageSetup paperSize="8" scale="70" orientation="landscape" r:id="rId1"/>
  <ignoredErrors>
    <ignoredError sqref="Q6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0 xmlns="619afb7c-2de5-4177-b0d9-08fb7757fa3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C925C633811549B3F853F120D6577F" ma:contentTypeVersion="7" ma:contentTypeDescription="Create a new document." ma:contentTypeScope="" ma:versionID="08e14eee5223ea5578683b3218f13210">
  <xsd:schema xmlns:xsd="http://www.w3.org/2001/XMLSchema" xmlns:xs="http://www.w3.org/2001/XMLSchema" xmlns:p="http://schemas.microsoft.com/office/2006/metadata/properties" xmlns:ns2="619afb7c-2de5-4177-b0d9-08fb7757fa3f" xmlns:ns3="a58d4ebb-bb17-4274-83c7-4b6519209440" targetNamespace="http://schemas.microsoft.com/office/2006/metadata/properties" ma:root="true" ma:fieldsID="cc8d6d8ad52982e955eb258046cfb89f" ns2:_="" ns3:_="">
    <xsd:import namespace="619afb7c-2de5-4177-b0d9-08fb7757fa3f"/>
    <xsd:import namespace="a58d4ebb-bb17-4274-83c7-4b65192094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Notes0"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afb7c-2de5-4177-b0d9-08fb7757f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Notes0" ma:index="12" nillable="true" ma:displayName="Notes" ma:format="Dropdown" ma:internalName="Notes0">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8d4ebb-bb17-4274-83c7-4b651920944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8736F3-9F80-4AEC-BD5C-476A25F9FC35}">
  <ds:schemaRefs>
    <ds:schemaRef ds:uri="http://schemas.microsoft.com/office/2006/documentManagement/types"/>
    <ds:schemaRef ds:uri="http://purl.org/dc/elements/1.1/"/>
    <ds:schemaRef ds:uri="http://schemas.microsoft.com/office/2006/metadata/properties"/>
    <ds:schemaRef ds:uri="619afb7c-2de5-4177-b0d9-08fb7757fa3f"/>
    <ds:schemaRef ds:uri="http://schemas.microsoft.com/office/infopath/2007/PartnerControls"/>
    <ds:schemaRef ds:uri="http://schemas.openxmlformats.org/package/2006/metadata/core-properties"/>
    <ds:schemaRef ds:uri="http://purl.org/dc/terms/"/>
    <ds:schemaRef ds:uri="a58d4ebb-bb17-4274-83c7-4b6519209440"/>
    <ds:schemaRef ds:uri="http://www.w3.org/XML/1998/namespace"/>
    <ds:schemaRef ds:uri="http://purl.org/dc/dcmitype/"/>
  </ds:schemaRefs>
</ds:datastoreItem>
</file>

<file path=customXml/itemProps2.xml><?xml version="1.0" encoding="utf-8"?>
<ds:datastoreItem xmlns:ds="http://schemas.openxmlformats.org/officeDocument/2006/customXml" ds:itemID="{D7B90B78-E3FC-4609-82D0-5D21F0AC6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9afb7c-2de5-4177-b0d9-08fb7757fa3f"/>
    <ds:schemaRef ds:uri="a58d4ebb-bb17-4274-83c7-4b6519209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A54765-5006-4EDE-8FF9-B7B550F5C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vt:i4>
      </vt:variant>
    </vt:vector>
  </HeadingPairs>
  <TitlesOfParts>
    <vt:vector size="35" baseType="lpstr">
      <vt:lpstr>Notes</vt:lpstr>
      <vt:lpstr>Changes Made for C18031</vt:lpstr>
      <vt:lpstr>Hide_me(drop_downs)</vt:lpstr>
      <vt:lpstr>Title_Page</vt:lpstr>
      <vt:lpstr>Table_1_UK</vt:lpstr>
      <vt:lpstr>Table_3_UK</vt:lpstr>
      <vt:lpstr>Table_3_Scotland</vt:lpstr>
      <vt:lpstr>Table_4_UK</vt:lpstr>
      <vt:lpstr>Table_5_UK</vt:lpstr>
      <vt:lpstr>Table_6_UK</vt:lpstr>
      <vt:lpstr>Table_7_UK</vt:lpstr>
      <vt:lpstr>Table_7_Wales</vt:lpstr>
      <vt:lpstr>Table_7_Scotland</vt:lpstr>
      <vt:lpstr>Table_7_N_Ireland</vt:lpstr>
      <vt:lpstr>Table_8_UK</vt:lpstr>
      <vt:lpstr>Table_9_UK</vt:lpstr>
      <vt:lpstr>Table_10_UK</vt:lpstr>
      <vt:lpstr>Table_11_UK</vt:lpstr>
      <vt:lpstr>Table_12_UK</vt:lpstr>
      <vt:lpstr>Table_13_UK</vt:lpstr>
      <vt:lpstr>KFI</vt:lpstr>
      <vt:lpstr>KFI!Print_Area</vt:lpstr>
      <vt:lpstr>Table_1_UK!Print_Area</vt:lpstr>
      <vt:lpstr>Table_10_UK!Print_Area</vt:lpstr>
      <vt:lpstr>Table_11_UK!Print_Area</vt:lpstr>
      <vt:lpstr>Table_3_UK!Print_Area</vt:lpstr>
      <vt:lpstr>Table_4_UK!Print_Area</vt:lpstr>
      <vt:lpstr>Table_7_N_Ireland!Print_Area</vt:lpstr>
      <vt:lpstr>Table_7_Scotland!Print_Area</vt:lpstr>
      <vt:lpstr>Table_7_Wales!Print_Area</vt:lpstr>
      <vt:lpstr>Title_Page!Print_Area</vt:lpstr>
      <vt:lpstr>Table_12_UK!Print_Titles</vt:lpstr>
      <vt:lpstr>Table_5_UK!Print_Titles</vt:lpstr>
      <vt:lpstr>Title_Page!Print_Titles</vt:lpstr>
      <vt:lpstr>Rules</vt:lpstr>
    </vt:vector>
  </TitlesOfParts>
  <Company>HESA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Fuidge</dc:creator>
  <cp:lastModifiedBy>WRIGHT Jess</cp:lastModifiedBy>
  <cp:lastPrinted>2019-08-27T08:39:24Z</cp:lastPrinted>
  <dcterms:created xsi:type="dcterms:W3CDTF">2013-10-23T08:26:51Z</dcterms:created>
  <dcterms:modified xsi:type="dcterms:W3CDTF">2019-12-19T11:06:20Z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0x0101006BC925C633811549B3F853F120D6577F</vt:lpwstr>
  </property>
</Properties>
</file>