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Finance\FIRST\Statutory Reporting\HESA\HESA FSR 19-20\Submission\"/>
    </mc:Choice>
  </mc:AlternateContent>
  <workbookProtection workbookAlgorithmName="SHA-512" workbookHashValue="7Jt7GbYkt3pdaEKGUSgGS6IQCOoX5+ZZs/MGKEUKgSQ0CLDYyJ/bJZ/E5liHWzJhXIUKqNw6vN6JIZvX3ERPrQ==" workbookSaltValue="dxU5rRCehu2+KPcgt2bMBg==" workbookSpinCount="100000" lockStructure="1"/>
  <bookViews>
    <workbookView xWindow="0" yWindow="0" windowWidth="28800" windowHeight="12000" tabRatio="915" firstSheet="5" activeTab="14"/>
  </bookViews>
  <sheets>
    <sheet name="Hide_me(drop_downs)" sheetId="24" state="hidden" r:id="rId1"/>
    <sheet name="Notes" sheetId="38" state="hidden" r:id="rId2"/>
    <sheet name="Changes Made for C19031" sheetId="37" state="hidden" r:id="rId3"/>
    <sheet name="Title_Page" sheetId="21" r:id="rId4"/>
    <sheet name="Table_1_UK" sheetId="9" r:id="rId5"/>
    <sheet name="Table_2_UK" sheetId="10" r:id="rId6"/>
    <sheet name="Table_2_Scotland" sheetId="22" r:id="rId7"/>
    <sheet name="Table_3_UK" sheetId="11" r:id="rId8"/>
    <sheet name="Table_4_UK" sheetId="2" r:id="rId9"/>
    <sheet name="Table_5_UK" sheetId="17" r:id="rId10"/>
    <sheet name="Table_6_UK" sheetId="14" r:id="rId11"/>
    <sheet name="Table_6_Wales" sheetId="15" r:id="rId12"/>
    <sheet name="Table_6_Scotland" sheetId="19" r:id="rId13"/>
    <sheet name="Table_6_N_Ireland" sheetId="18" r:id="rId14"/>
    <sheet name="Table_7_UK" sheetId="3" r:id="rId15"/>
    <sheet name="Table_8_UK" sheetId="7" r:id="rId16"/>
    <sheet name="Table_9_UK" sheetId="28" r:id="rId17"/>
    <sheet name="Table_10_UK" sheetId="31" r:id="rId18"/>
    <sheet name="Table_11_UK" sheetId="30" r:id="rId19"/>
    <sheet name="Table_12_UK" sheetId="32" r:id="rId20"/>
    <sheet name="KFI" sheetId="27" r:id="rId21"/>
  </sheets>
  <definedNames>
    <definedName name="_xlnm.Print_Area" localSheetId="20">KFI!$A$1:$I$13</definedName>
    <definedName name="_xlnm.Print_Area" localSheetId="4">Table_1_UK!$A$1:$N$58</definedName>
    <definedName name="_xlnm.Print_Area" localSheetId="17">Table_10_UK!$A$1:$AC$55</definedName>
    <definedName name="_xlnm.Print_Area" localSheetId="5">Table_2_UK!$A$1:$N$70</definedName>
    <definedName name="_xlnm.Print_Area" localSheetId="7">Table_3_UK!$A$1:$N$70</definedName>
    <definedName name="_xlnm.Print_Area" localSheetId="13">Table_6_N_Ireland!$A$1:$H$10</definedName>
    <definedName name="_xlnm.Print_Area" localSheetId="12">Table_6_Scotland!$A$1:$H$13</definedName>
    <definedName name="_xlnm.Print_Area" localSheetId="11">Table_6_Wales!$A$1:$H$16</definedName>
    <definedName name="_xlnm.Print_Area" localSheetId="16">Table_9_UK!$A$1:$Z$54</definedName>
    <definedName name="_xlnm.Print_Area" localSheetId="3">Title_Page!$A$1:$L$193</definedName>
    <definedName name="_xlnm.Print_Titles" localSheetId="18">Table_11_UK!1:29</definedName>
    <definedName name="_xlnm.Print_Titles" localSheetId="8">Table_4_UK!A:G</definedName>
    <definedName name="_xlnm.Print_Titles" localSheetId="3">Title_Page!1:23</definedName>
    <definedName name="Rules">Title_Page!$A$22:$A$196</definedName>
  </definedNames>
  <calcPr calcId="162913"/>
  <fileRecoveryPr autoRecover="0"/>
  <extLst>
    <x:ext xmlns:x="http://schemas.openxmlformats.org/spreadsheetml/2006/main"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x:ext>
  </extLst>
</workbook>
</file>

<file path=xl/calcChain.xml><?xml version="1.0" encoding="utf-8"?>
<calcChain xmlns="http://schemas.openxmlformats.org/spreadsheetml/2006/main">
  <c r="B1" i="21" l="1"/>
  <c r="E24" i="21"/>
  <c r="E25" i="21"/>
  <c r="E26" i="21"/>
  <c r="E27" i="21"/>
  <c r="E28" i="21"/>
  <c r="E29" i="21"/>
  <c r="E30" i="21"/>
  <c r="E31" i="21"/>
  <c r="E32" i="21"/>
  <c r="E33" i="21"/>
  <c r="E34" i="21"/>
  <c r="E35" i="21"/>
  <c r="H35" i="21"/>
  <c r="K35" i="21" s="1"/>
  <c r="I35" i="21"/>
  <c r="J35" i="21"/>
  <c r="E36" i="21"/>
  <c r="H36" i="21"/>
  <c r="I36" i="21"/>
  <c r="J36" i="21"/>
  <c r="K36" i="21"/>
  <c r="L36" i="21"/>
  <c r="E37" i="21"/>
  <c r="E38" i="21"/>
  <c r="E39" i="21"/>
  <c r="H39" i="21"/>
  <c r="I39" i="21"/>
  <c r="J39" i="21"/>
  <c r="K39" i="21"/>
  <c r="L39" i="21"/>
  <c r="E40" i="21"/>
  <c r="H40" i="21"/>
  <c r="I40" i="21"/>
  <c r="J40" i="21"/>
  <c r="K40" i="21"/>
  <c r="L40" i="21"/>
  <c r="E41" i="21"/>
  <c r="H41" i="21"/>
  <c r="I41" i="21"/>
  <c r="J41" i="21"/>
  <c r="K41" i="21"/>
  <c r="L41" i="21"/>
  <c r="E42" i="21"/>
  <c r="H42" i="21"/>
  <c r="I42" i="21"/>
  <c r="J42" i="21"/>
  <c r="K42" i="21"/>
  <c r="L42" i="21"/>
  <c r="E43" i="21"/>
  <c r="H43" i="21"/>
  <c r="I43" i="21"/>
  <c r="J43" i="21"/>
  <c r="K43" i="21"/>
  <c r="L43" i="21"/>
  <c r="E44" i="21"/>
  <c r="E45" i="21"/>
  <c r="E46" i="21"/>
  <c r="E47" i="21"/>
  <c r="E48" i="21"/>
  <c r="E49" i="21"/>
  <c r="E50" i="21"/>
  <c r="E51" i="21"/>
  <c r="E52" i="21"/>
  <c r="E53" i="21"/>
  <c r="E54" i="21"/>
  <c r="H54" i="21"/>
  <c r="I54" i="21"/>
  <c r="J54" i="21"/>
  <c r="K54" i="21"/>
  <c r="L54" i="21"/>
  <c r="E55" i="21"/>
  <c r="H55" i="21"/>
  <c r="K55" i="21" s="1"/>
  <c r="I55" i="21"/>
  <c r="J55" i="21"/>
  <c r="L55" i="21"/>
  <c r="E56" i="21"/>
  <c r="H56" i="21"/>
  <c r="I56" i="21"/>
  <c r="J56" i="21"/>
  <c r="K56" i="21"/>
  <c r="L56" i="21"/>
  <c r="E57" i="21"/>
  <c r="H57" i="21"/>
  <c r="K57" i="21" s="1"/>
  <c r="I57" i="21"/>
  <c r="J57" i="21"/>
  <c r="L57" i="21"/>
  <c r="E58" i="21"/>
  <c r="J58" i="21"/>
  <c r="E59" i="21"/>
  <c r="H59" i="21"/>
  <c r="U1" i="10" s="1"/>
  <c r="J59" i="21"/>
  <c r="E60" i="21"/>
  <c r="E61" i="21"/>
  <c r="E62" i="21"/>
  <c r="E63" i="21"/>
  <c r="E64" i="21"/>
  <c r="E65" i="21"/>
  <c r="E66" i="21"/>
  <c r="J66" i="21"/>
  <c r="E67" i="21"/>
  <c r="H67" i="21"/>
  <c r="J67" i="21"/>
  <c r="K67" i="21"/>
  <c r="L67" i="21"/>
  <c r="E68" i="21"/>
  <c r="H68" i="21"/>
  <c r="I68" i="21"/>
  <c r="J68" i="21"/>
  <c r="K68" i="21"/>
  <c r="L68" i="21"/>
  <c r="E69" i="21"/>
  <c r="H69" i="21"/>
  <c r="I69" i="21"/>
  <c r="J69" i="21"/>
  <c r="K69" i="21"/>
  <c r="L69" i="21"/>
  <c r="E70" i="21"/>
  <c r="H70" i="21"/>
  <c r="I70" i="21"/>
  <c r="J70" i="21"/>
  <c r="K70" i="21"/>
  <c r="L70" i="21"/>
  <c r="E71" i="21"/>
  <c r="H71" i="21"/>
  <c r="I71" i="21"/>
  <c r="J71" i="21"/>
  <c r="K71" i="21"/>
  <c r="L71" i="21"/>
  <c r="E72" i="21"/>
  <c r="H72" i="21"/>
  <c r="I72" i="21"/>
  <c r="J72" i="21"/>
  <c r="K72" i="21"/>
  <c r="L72" i="21"/>
  <c r="E73" i="21"/>
  <c r="H73" i="21"/>
  <c r="I73" i="21"/>
  <c r="J73" i="21"/>
  <c r="K73" i="21"/>
  <c r="L73" i="21"/>
  <c r="E74" i="21"/>
  <c r="E75" i="21"/>
  <c r="E76" i="21"/>
  <c r="H76" i="21"/>
  <c r="L76" i="21" s="1"/>
  <c r="I76" i="21"/>
  <c r="J76" i="21"/>
  <c r="E77" i="21"/>
  <c r="H77" i="21"/>
  <c r="K77" i="21" s="1"/>
  <c r="I77" i="21"/>
  <c r="J77" i="21"/>
  <c r="L77" i="21"/>
  <c r="E78" i="21"/>
  <c r="H78" i="21"/>
  <c r="J78" i="21"/>
  <c r="K78" i="21"/>
  <c r="L78" i="21"/>
  <c r="E79" i="21"/>
  <c r="E80" i="21"/>
  <c r="E81" i="21"/>
  <c r="E82" i="21"/>
  <c r="E83" i="21"/>
  <c r="E84" i="21"/>
  <c r="E85" i="21"/>
  <c r="E86" i="21"/>
  <c r="E87" i="21"/>
  <c r="E88" i="21"/>
  <c r="E89" i="21"/>
  <c r="E90" i="21"/>
  <c r="E91" i="21"/>
  <c r="E92" i="21"/>
  <c r="E93" i="21"/>
  <c r="E94" i="21"/>
  <c r="E95" i="21"/>
  <c r="E96" i="21"/>
  <c r="E97" i="21"/>
  <c r="E98" i="21"/>
  <c r="E99" i="21"/>
  <c r="E100" i="21"/>
  <c r="E101" i="21"/>
  <c r="E102" i="21"/>
  <c r="H102" i="21"/>
  <c r="K102" i="21" s="1"/>
  <c r="J102" i="21"/>
  <c r="I102" i="21" s="1"/>
  <c r="E103" i="21"/>
  <c r="H103" i="21"/>
  <c r="K103" i="21" s="1"/>
  <c r="I103" i="21"/>
  <c r="L103" i="21"/>
  <c r="E104" i="21"/>
  <c r="H104" i="21"/>
  <c r="E105" i="21"/>
  <c r="E106" i="21"/>
  <c r="E107" i="21"/>
  <c r="E108" i="21"/>
  <c r="E109" i="21"/>
  <c r="J109" i="21"/>
  <c r="E110" i="21"/>
  <c r="E111" i="21"/>
  <c r="E112" i="21"/>
  <c r="E113" i="21"/>
  <c r="E114" i="21"/>
  <c r="E115" i="21"/>
  <c r="E116" i="21"/>
  <c r="E117" i="21"/>
  <c r="J117" i="21"/>
  <c r="E118" i="21"/>
  <c r="E119" i="21"/>
  <c r="E120" i="21"/>
  <c r="E121" i="21"/>
  <c r="E122" i="21"/>
  <c r="E123" i="21"/>
  <c r="E124" i="21"/>
  <c r="E125" i="21"/>
  <c r="J125" i="21"/>
  <c r="E126" i="21"/>
  <c r="E127" i="21"/>
  <c r="E128" i="21"/>
  <c r="E129" i="21"/>
  <c r="E130" i="21"/>
  <c r="E131" i="21"/>
  <c r="E132" i="21"/>
  <c r="E133" i="21"/>
  <c r="E134" i="21"/>
  <c r="E135" i="21"/>
  <c r="E136" i="21"/>
  <c r="E137" i="21"/>
  <c r="E138" i="21"/>
  <c r="E139" i="21"/>
  <c r="E140" i="21"/>
  <c r="E141" i="21"/>
  <c r="E142" i="21"/>
  <c r="E143" i="21"/>
  <c r="E144" i="21"/>
  <c r="E145" i="21"/>
  <c r="E146" i="21"/>
  <c r="E147" i="21"/>
  <c r="E148" i="21"/>
  <c r="E149" i="21"/>
  <c r="E150" i="21"/>
  <c r="E151" i="21"/>
  <c r="H151" i="21"/>
  <c r="K151" i="21" s="1"/>
  <c r="I151" i="21"/>
  <c r="J151" i="21"/>
  <c r="L151" i="21"/>
  <c r="E152" i="21"/>
  <c r="E153" i="21"/>
  <c r="E154" i="21"/>
  <c r="E155" i="21"/>
  <c r="E156" i="21"/>
  <c r="E157" i="21"/>
  <c r="E158" i="21"/>
  <c r="E159" i="21"/>
  <c r="E160" i="21"/>
  <c r="E161" i="21"/>
  <c r="E162" i="21"/>
  <c r="E163" i="21"/>
  <c r="H163" i="21"/>
  <c r="K163" i="21" s="1"/>
  <c r="I163" i="21"/>
  <c r="J163" i="21"/>
  <c r="L163" i="21"/>
  <c r="E164" i="21"/>
  <c r="H164" i="21"/>
  <c r="I164" i="21"/>
  <c r="J164" i="21"/>
  <c r="E165" i="21"/>
  <c r="E166" i="21"/>
  <c r="E167" i="21"/>
  <c r="I167" i="21"/>
  <c r="E168" i="21"/>
  <c r="J168" i="21"/>
  <c r="E169" i="21"/>
  <c r="H169" i="21"/>
  <c r="K169" i="21" s="1"/>
  <c r="I169" i="21"/>
  <c r="E170" i="21"/>
  <c r="H170" i="21"/>
  <c r="K170" i="21" s="1"/>
  <c r="E171" i="21"/>
  <c r="H171" i="21"/>
  <c r="E172" i="21"/>
  <c r="H172" i="21"/>
  <c r="I172" i="21"/>
  <c r="E173" i="21"/>
  <c r="H173" i="21"/>
  <c r="K173" i="21" s="1"/>
  <c r="J173" i="21"/>
  <c r="L173" i="21"/>
  <c r="E174" i="21"/>
  <c r="E175" i="21"/>
  <c r="E176" i="21"/>
  <c r="H176" i="21"/>
  <c r="L176" i="21" s="1"/>
  <c r="I176" i="21"/>
  <c r="K176" i="21"/>
  <c r="E177" i="21"/>
  <c r="H177" i="21"/>
  <c r="I177" i="21"/>
  <c r="J177" i="21"/>
  <c r="K177" i="21"/>
  <c r="L177" i="21"/>
  <c r="E178" i="21"/>
  <c r="E179" i="21"/>
  <c r="E180" i="21"/>
  <c r="H180" i="21"/>
  <c r="K180" i="21" s="1"/>
  <c r="I180" i="21"/>
  <c r="J180" i="21"/>
  <c r="L180" i="21"/>
  <c r="E181" i="21"/>
  <c r="H181" i="21"/>
  <c r="J181" i="21"/>
  <c r="I181" i="21" s="1"/>
  <c r="K181" i="21"/>
  <c r="L181" i="21"/>
  <c r="E182" i="21"/>
  <c r="H182" i="21"/>
  <c r="K182" i="21" s="1"/>
  <c r="I182" i="21"/>
  <c r="J182" i="21"/>
  <c r="E183" i="21"/>
  <c r="E184" i="21"/>
  <c r="E185" i="21"/>
  <c r="E186" i="21"/>
  <c r="E187" i="21"/>
  <c r="E188" i="21"/>
  <c r="E189" i="21"/>
  <c r="E190" i="21"/>
  <c r="E191" i="21"/>
  <c r="H191" i="21"/>
  <c r="I191" i="21"/>
  <c r="J191" i="21"/>
  <c r="K191" i="21"/>
  <c r="L191" i="21"/>
  <c r="E192" i="21"/>
  <c r="H192" i="21"/>
  <c r="K192" i="21" s="1"/>
  <c r="I192" i="21"/>
  <c r="J192" i="21"/>
  <c r="L192" i="21"/>
  <c r="E193" i="21"/>
  <c r="H193" i="21"/>
  <c r="I193" i="21"/>
  <c r="J193" i="21"/>
  <c r="K193" i="21"/>
  <c r="L193" i="21"/>
  <c r="E194" i="21"/>
  <c r="H194" i="21"/>
  <c r="K194" i="21" s="1"/>
  <c r="I194" i="21"/>
  <c r="J194" i="21"/>
  <c r="L194" i="21"/>
  <c r="E195" i="21"/>
  <c r="H195" i="21"/>
  <c r="I195" i="21"/>
  <c r="J195" i="21"/>
  <c r="K195" i="21"/>
  <c r="L195" i="21"/>
  <c r="E196" i="21"/>
  <c r="H196" i="21"/>
  <c r="K196" i="21" s="1"/>
  <c r="I196" i="21"/>
  <c r="J196" i="21"/>
  <c r="L196" i="21"/>
  <c r="U1" i="9"/>
  <c r="B2" i="9"/>
  <c r="N2" i="9"/>
  <c r="H3" i="9"/>
  <c r="I3" i="9"/>
  <c r="J3" i="9"/>
  <c r="U5" i="9"/>
  <c r="U7" i="9"/>
  <c r="U9" i="9"/>
  <c r="H10" i="9"/>
  <c r="U10" i="9"/>
  <c r="U11" i="9"/>
  <c r="I12" i="9"/>
  <c r="H31" i="21" s="1"/>
  <c r="J12" i="9"/>
  <c r="K16" i="9"/>
  <c r="U16" i="9"/>
  <c r="U18" i="9"/>
  <c r="U19" i="9"/>
  <c r="I20" i="9"/>
  <c r="J20" i="9"/>
  <c r="J22" i="9" s="1"/>
  <c r="I22" i="9"/>
  <c r="I30" i="9" s="1"/>
  <c r="I34" i="9" s="1"/>
  <c r="I54" i="9" s="1"/>
  <c r="K24" i="9"/>
  <c r="U24" i="9"/>
  <c r="K25" i="9"/>
  <c r="L25" i="9"/>
  <c r="K26" i="9"/>
  <c r="L26" i="9"/>
  <c r="P26" i="9" s="1"/>
  <c r="Q26" i="9"/>
  <c r="U26" i="9"/>
  <c r="K27" i="9"/>
  <c r="U27" i="9"/>
  <c r="K28" i="9"/>
  <c r="P28" i="9" s="1"/>
  <c r="R28" i="9" s="1"/>
  <c r="S28" i="9" s="1"/>
  <c r="L28" i="9"/>
  <c r="Q28" i="9" s="1"/>
  <c r="U28" i="9"/>
  <c r="J30" i="9"/>
  <c r="J34" i="9" s="1"/>
  <c r="K32" i="9"/>
  <c r="L32" i="9"/>
  <c r="Q32" i="9" s="1"/>
  <c r="U32" i="9"/>
  <c r="K36" i="9"/>
  <c r="L36" i="9"/>
  <c r="U36" i="9"/>
  <c r="K37" i="9"/>
  <c r="L37" i="9" s="1"/>
  <c r="U37" i="9"/>
  <c r="K38" i="9"/>
  <c r="L38" i="9"/>
  <c r="U38" i="9"/>
  <c r="K39" i="9"/>
  <c r="L39" i="9" s="1"/>
  <c r="U39" i="9"/>
  <c r="I41" i="9"/>
  <c r="K44" i="9"/>
  <c r="L44" i="9" s="1"/>
  <c r="U44" i="9"/>
  <c r="K45" i="9"/>
  <c r="L45" i="9"/>
  <c r="U45" i="9"/>
  <c r="K46" i="9"/>
  <c r="L46" i="9" s="1"/>
  <c r="U46" i="9"/>
  <c r="K47" i="9"/>
  <c r="L47" i="9"/>
  <c r="U47" i="9"/>
  <c r="H48" i="9"/>
  <c r="I48" i="9"/>
  <c r="J48" i="9"/>
  <c r="K49" i="9"/>
  <c r="L49" i="9"/>
  <c r="U49" i="9"/>
  <c r="I50" i="9"/>
  <c r="J50" i="9"/>
  <c r="K53" i="9"/>
  <c r="L53" i="9"/>
  <c r="U53" i="9"/>
  <c r="B2" i="10"/>
  <c r="N2" i="10"/>
  <c r="H3" i="10"/>
  <c r="I3" i="10"/>
  <c r="J3" i="10"/>
  <c r="K6" i="10"/>
  <c r="L6" i="10" s="1"/>
  <c r="P6" i="10"/>
  <c r="U6" i="10"/>
  <c r="K7" i="10"/>
  <c r="L7" i="10"/>
  <c r="U7" i="10"/>
  <c r="K8" i="10"/>
  <c r="U8" i="10"/>
  <c r="H9" i="10"/>
  <c r="I9" i="10"/>
  <c r="J9" i="10"/>
  <c r="K10" i="10"/>
  <c r="U10" i="10"/>
  <c r="K11" i="10"/>
  <c r="L11" i="10"/>
  <c r="Q11" i="10" s="1"/>
  <c r="U11" i="10"/>
  <c r="K12" i="10"/>
  <c r="U12" i="10"/>
  <c r="K13" i="10"/>
  <c r="L13" i="10"/>
  <c r="K14" i="10"/>
  <c r="L14" i="10"/>
  <c r="Q14" i="10" s="1"/>
  <c r="U14" i="10"/>
  <c r="K15" i="10"/>
  <c r="U15" i="10"/>
  <c r="H16" i="10"/>
  <c r="I16" i="10"/>
  <c r="H47" i="21" s="1"/>
  <c r="J16" i="10"/>
  <c r="K19" i="10"/>
  <c r="U19" i="10"/>
  <c r="K20" i="10"/>
  <c r="L20" i="10"/>
  <c r="P20" i="10" s="1"/>
  <c r="Q20" i="10"/>
  <c r="U20" i="10"/>
  <c r="K21" i="10"/>
  <c r="U21" i="10"/>
  <c r="K22" i="10"/>
  <c r="L22" i="10"/>
  <c r="K23" i="10"/>
  <c r="L23" i="10"/>
  <c r="K24" i="10"/>
  <c r="P24" i="10" s="1"/>
  <c r="R24" i="10" s="1"/>
  <c r="S24" i="10" s="1"/>
  <c r="L24" i="10"/>
  <c r="Q24" i="10" s="1"/>
  <c r="U24" i="10"/>
  <c r="K25" i="10"/>
  <c r="U25" i="10"/>
  <c r="H26" i="10"/>
  <c r="I26" i="10"/>
  <c r="J26" i="10"/>
  <c r="K26" i="10"/>
  <c r="K29" i="10"/>
  <c r="U29" i="10"/>
  <c r="K30" i="10"/>
  <c r="L30" i="10"/>
  <c r="P30" i="10" s="1"/>
  <c r="Q30" i="10"/>
  <c r="U30" i="10"/>
  <c r="K31" i="10"/>
  <c r="U31" i="10"/>
  <c r="K32" i="10"/>
  <c r="L32" i="10"/>
  <c r="Q32" i="10" s="1"/>
  <c r="U32" i="10"/>
  <c r="K33" i="10"/>
  <c r="L33" i="10" s="1"/>
  <c r="K34" i="10"/>
  <c r="U34" i="10"/>
  <c r="K35" i="10"/>
  <c r="L35" i="10"/>
  <c r="K36" i="10"/>
  <c r="P36" i="10" s="1"/>
  <c r="R36" i="10" s="1"/>
  <c r="S36" i="10" s="1"/>
  <c r="L36" i="10"/>
  <c r="Q36" i="10"/>
  <c r="U36" i="10"/>
  <c r="H37" i="10"/>
  <c r="I37" i="10"/>
  <c r="H51" i="21" s="1"/>
  <c r="J37" i="10"/>
  <c r="K39" i="10"/>
  <c r="P39" i="10" s="1"/>
  <c r="R39" i="10" s="1"/>
  <c r="S39" i="10" s="1"/>
  <c r="L39" i="10"/>
  <c r="Q39" i="10"/>
  <c r="U39" i="10"/>
  <c r="J41" i="10"/>
  <c r="J43" i="10" s="1"/>
  <c r="J58" i="10" s="1"/>
  <c r="K46" i="10"/>
  <c r="U46" i="10"/>
  <c r="K47" i="10"/>
  <c r="L47" i="10"/>
  <c r="P47" i="10" s="1"/>
  <c r="Q47" i="10"/>
  <c r="U47" i="10"/>
  <c r="K48" i="10"/>
  <c r="U48" i="10"/>
  <c r="K49" i="10"/>
  <c r="L49" i="10"/>
  <c r="K50" i="10"/>
  <c r="L50" i="10"/>
  <c r="P50" i="10" s="1"/>
  <c r="R50" i="10" s="1"/>
  <c r="S50" i="10" s="1"/>
  <c r="Q50" i="10"/>
  <c r="U50" i="10"/>
  <c r="H51" i="10"/>
  <c r="I51" i="10"/>
  <c r="J51" i="10"/>
  <c r="K54" i="10"/>
  <c r="P54" i="10" s="1"/>
  <c r="R54" i="10" s="1"/>
  <c r="S54" i="10" s="1"/>
  <c r="L54" i="10"/>
  <c r="Q54" i="10"/>
  <c r="U54" i="10"/>
  <c r="K55" i="10"/>
  <c r="U55" i="10"/>
  <c r="H56" i="10"/>
  <c r="I56" i="10"/>
  <c r="J56" i="10"/>
  <c r="K61" i="10"/>
  <c r="L61" i="10"/>
  <c r="P61" i="10" s="1"/>
  <c r="R61" i="10" s="1"/>
  <c r="S61" i="10" s="1"/>
  <c r="Q61" i="10"/>
  <c r="U61" i="10"/>
  <c r="K62" i="10"/>
  <c r="U62" i="10"/>
  <c r="K64" i="10"/>
  <c r="L64" i="10"/>
  <c r="Q64" i="10" s="1"/>
  <c r="U64" i="10"/>
  <c r="K65" i="10"/>
  <c r="U65" i="10"/>
  <c r="H66" i="10"/>
  <c r="I66" i="10"/>
  <c r="J66" i="10"/>
  <c r="K66" i="10"/>
  <c r="K68" i="10"/>
  <c r="U68" i="10"/>
  <c r="H70" i="10"/>
  <c r="J44" i="21" s="1"/>
  <c r="I70" i="10"/>
  <c r="J70" i="10"/>
  <c r="K70" i="10"/>
  <c r="K72" i="10"/>
  <c r="L72" i="10" s="1"/>
  <c r="U1" i="22"/>
  <c r="I67" i="21" s="1"/>
  <c r="N2" i="22"/>
  <c r="H3" i="22"/>
  <c r="I3" i="22"/>
  <c r="J3" i="22"/>
  <c r="U5" i="22"/>
  <c r="K7" i="22"/>
  <c r="U7" i="22"/>
  <c r="K8" i="22"/>
  <c r="L8" i="22"/>
  <c r="U8" i="22"/>
  <c r="K9" i="22"/>
  <c r="U9" i="22"/>
  <c r="K10" i="22"/>
  <c r="P10" i="22" s="1"/>
  <c r="L10" i="22"/>
  <c r="Q10" i="22"/>
  <c r="U10" i="22"/>
  <c r="K11" i="22"/>
  <c r="U11" i="22"/>
  <c r="H12" i="22"/>
  <c r="I12" i="22"/>
  <c r="J12" i="22"/>
  <c r="K15" i="22"/>
  <c r="U15" i="22"/>
  <c r="K16" i="22"/>
  <c r="L16" i="22"/>
  <c r="U16" i="22"/>
  <c r="K17" i="22"/>
  <c r="U17" i="22"/>
  <c r="K18" i="22"/>
  <c r="L18" i="22"/>
  <c r="P18" i="22" s="1"/>
  <c r="Q18" i="22"/>
  <c r="U18" i="22"/>
  <c r="K19" i="22"/>
  <c r="U19" i="22"/>
  <c r="H20" i="22"/>
  <c r="I20" i="22"/>
  <c r="J20" i="22"/>
  <c r="U1" i="11"/>
  <c r="B2" i="11"/>
  <c r="H3" i="11"/>
  <c r="I3" i="11"/>
  <c r="J3" i="11"/>
  <c r="S5" i="11"/>
  <c r="U6" i="11"/>
  <c r="U9" i="11"/>
  <c r="K10" i="11"/>
  <c r="L10" i="11"/>
  <c r="U10" i="11"/>
  <c r="K11" i="11"/>
  <c r="L11" i="11" s="1"/>
  <c r="U11" i="11"/>
  <c r="K12" i="11"/>
  <c r="L12" i="11"/>
  <c r="U12" i="11"/>
  <c r="H13" i="11"/>
  <c r="U13" i="11"/>
  <c r="K14" i="11"/>
  <c r="L14" i="11" s="1"/>
  <c r="U14" i="11"/>
  <c r="K15" i="11"/>
  <c r="L15" i="11"/>
  <c r="U15" i="11"/>
  <c r="K16" i="11"/>
  <c r="L16" i="11" s="1"/>
  <c r="U16" i="11"/>
  <c r="K17" i="11"/>
  <c r="L17" i="11"/>
  <c r="U17" i="11"/>
  <c r="K18" i="11"/>
  <c r="L18" i="11" s="1"/>
  <c r="U18" i="11"/>
  <c r="K19" i="11"/>
  <c r="L19" i="11"/>
  <c r="U19" i="11"/>
  <c r="H20" i="11"/>
  <c r="K20" i="11" s="1"/>
  <c r="L20" i="11"/>
  <c r="U20" i="11"/>
  <c r="H21" i="11"/>
  <c r="K21" i="11" s="1"/>
  <c r="L21" i="11"/>
  <c r="U21" i="11"/>
  <c r="K22" i="11"/>
  <c r="L22" i="11"/>
  <c r="U22" i="11"/>
  <c r="K25" i="11"/>
  <c r="L25" i="11"/>
  <c r="U25" i="11"/>
  <c r="K26" i="11"/>
  <c r="L26" i="11" s="1"/>
  <c r="U26" i="11"/>
  <c r="K27" i="11"/>
  <c r="L27" i="11"/>
  <c r="U27" i="11"/>
  <c r="K28" i="11"/>
  <c r="L28" i="11" s="1"/>
  <c r="U28" i="11"/>
  <c r="K29" i="11"/>
  <c r="L29" i="11"/>
  <c r="I31" i="11"/>
  <c r="I35" i="11" s="1"/>
  <c r="I64" i="11" s="1"/>
  <c r="I70" i="11" s="1"/>
  <c r="J31" i="11"/>
  <c r="K33" i="11"/>
  <c r="L33" i="11"/>
  <c r="J35" i="11"/>
  <c r="K38" i="11"/>
  <c r="L38" i="11"/>
  <c r="U38" i="11"/>
  <c r="K39" i="11"/>
  <c r="L39" i="11" s="1"/>
  <c r="U39" i="11"/>
  <c r="K40" i="11"/>
  <c r="L40" i="11"/>
  <c r="K41" i="11"/>
  <c r="L41" i="11"/>
  <c r="U41" i="11"/>
  <c r="K42" i="11"/>
  <c r="L42" i="11"/>
  <c r="U42" i="11"/>
  <c r="K43" i="11"/>
  <c r="L43" i="11"/>
  <c r="U43" i="11"/>
  <c r="K44" i="11"/>
  <c r="L44" i="11" s="1"/>
  <c r="K45" i="11"/>
  <c r="L45" i="11"/>
  <c r="U45" i="11"/>
  <c r="K46" i="11"/>
  <c r="L46" i="11"/>
  <c r="U46" i="11"/>
  <c r="K47" i="11"/>
  <c r="L47" i="11"/>
  <c r="U47" i="11"/>
  <c r="K48" i="11"/>
  <c r="L48" i="11"/>
  <c r="H49" i="11"/>
  <c r="K49" i="11" s="1"/>
  <c r="I49" i="11"/>
  <c r="J49" i="11"/>
  <c r="K52" i="11"/>
  <c r="L52" i="11" s="1"/>
  <c r="U52" i="11"/>
  <c r="K53" i="11"/>
  <c r="L53" i="11"/>
  <c r="U53" i="11"/>
  <c r="K54" i="11"/>
  <c r="L54" i="11" s="1"/>
  <c r="U54" i="11"/>
  <c r="K55" i="11"/>
  <c r="L55" i="11"/>
  <c r="K56" i="11"/>
  <c r="L56" i="11"/>
  <c r="U56" i="11"/>
  <c r="K57" i="11"/>
  <c r="L57" i="11"/>
  <c r="U57" i="11"/>
  <c r="K58" i="11"/>
  <c r="L58" i="11"/>
  <c r="U58" i="11"/>
  <c r="K59" i="11"/>
  <c r="L59" i="11" s="1"/>
  <c r="U59" i="11"/>
  <c r="K60" i="11"/>
  <c r="L60" i="11"/>
  <c r="K61" i="11"/>
  <c r="L61" i="11"/>
  <c r="U61" i="11"/>
  <c r="H62" i="11"/>
  <c r="K62" i="11" s="1"/>
  <c r="I62" i="11"/>
  <c r="J62" i="11"/>
  <c r="L62" i="11"/>
  <c r="U66" i="11"/>
  <c r="K68" i="11"/>
  <c r="L68" i="11" s="1"/>
  <c r="Q6" i="2"/>
  <c r="AE6" i="2"/>
  <c r="Q7" i="2"/>
  <c r="AE7" i="2"/>
  <c r="Q8" i="2"/>
  <c r="AE8" i="2"/>
  <c r="Q9" i="2"/>
  <c r="AE9" i="2"/>
  <c r="Q10" i="2"/>
  <c r="AE10" i="2"/>
  <c r="Q11" i="2"/>
  <c r="AE11" i="2"/>
  <c r="Q12" i="2"/>
  <c r="AE12" i="2"/>
  <c r="Q13" i="2"/>
  <c r="AE13" i="2"/>
  <c r="Q14" i="2"/>
  <c r="AE14" i="2"/>
  <c r="Q15" i="2"/>
  <c r="AE15" i="2"/>
  <c r="Q16" i="2"/>
  <c r="AE16" i="2"/>
  <c r="Q17" i="2"/>
  <c r="AE17" i="2"/>
  <c r="Q18" i="2"/>
  <c r="AE18" i="2"/>
  <c r="Q19" i="2"/>
  <c r="AE19" i="2"/>
  <c r="Q20" i="2"/>
  <c r="AE20" i="2"/>
  <c r="Q21" i="2"/>
  <c r="AE21" i="2"/>
  <c r="Q22" i="2"/>
  <c r="AE22" i="2"/>
  <c r="Q23" i="2"/>
  <c r="AE23" i="2"/>
  <c r="Q24" i="2"/>
  <c r="AE24" i="2"/>
  <c r="Q25" i="2"/>
  <c r="AE25" i="2"/>
  <c r="Q26" i="2"/>
  <c r="AE26" i="2"/>
  <c r="Q27" i="2"/>
  <c r="AE27" i="2"/>
  <c r="Q28" i="2"/>
  <c r="AE28" i="2"/>
  <c r="Q29" i="2"/>
  <c r="AE29" i="2"/>
  <c r="Q30" i="2"/>
  <c r="AE30" i="2"/>
  <c r="Q31" i="2"/>
  <c r="AE31" i="2"/>
  <c r="Q32" i="2"/>
  <c r="AE32" i="2"/>
  <c r="Q33" i="2"/>
  <c r="AE33" i="2"/>
  <c r="Q34" i="2"/>
  <c r="AE34" i="2"/>
  <c r="Q35" i="2"/>
  <c r="AE35" i="2"/>
  <c r="Q36" i="2"/>
  <c r="AE36" i="2"/>
  <c r="Q37" i="2"/>
  <c r="AE37" i="2"/>
  <c r="Q38" i="2"/>
  <c r="AE38" i="2"/>
  <c r="Q39" i="2"/>
  <c r="AE39" i="2"/>
  <c r="Q40" i="2"/>
  <c r="AE40" i="2"/>
  <c r="Q41" i="2"/>
  <c r="AE41" i="2"/>
  <c r="Q42" i="2"/>
  <c r="AE42" i="2"/>
  <c r="Q43" i="2"/>
  <c r="AE43" i="2"/>
  <c r="Q44" i="2"/>
  <c r="AE44" i="2"/>
  <c r="Q45" i="2"/>
  <c r="AE45" i="2"/>
  <c r="Q46" i="2"/>
  <c r="AE46" i="2"/>
  <c r="Q47" i="2"/>
  <c r="AE47" i="2"/>
  <c r="Q48" i="2"/>
  <c r="AE48" i="2"/>
  <c r="Q49" i="2"/>
  <c r="AE49" i="2"/>
  <c r="Q50" i="2"/>
  <c r="AE50" i="2"/>
  <c r="H51" i="2"/>
  <c r="I51" i="2"/>
  <c r="J51" i="2"/>
  <c r="K51" i="2"/>
  <c r="L51" i="2"/>
  <c r="M51" i="2"/>
  <c r="N51" i="2"/>
  <c r="O51" i="2"/>
  <c r="P51" i="2"/>
  <c r="Q51" i="2"/>
  <c r="R51" i="2"/>
  <c r="S51" i="2"/>
  <c r="S61" i="2" s="1"/>
  <c r="T51" i="2"/>
  <c r="U51" i="2"/>
  <c r="V51" i="2"/>
  <c r="W51" i="2"/>
  <c r="W61" i="2" s="1"/>
  <c r="X51" i="2"/>
  <c r="Y51" i="2"/>
  <c r="Z51" i="2"/>
  <c r="AA51" i="2"/>
  <c r="AA61" i="2" s="1"/>
  <c r="AB51" i="2"/>
  <c r="AC51" i="2"/>
  <c r="AD51" i="2"/>
  <c r="AE51" i="2"/>
  <c r="AE61" i="2" s="1"/>
  <c r="Q53" i="2"/>
  <c r="AE53" i="2"/>
  <c r="Q56" i="2"/>
  <c r="AE56" i="2"/>
  <c r="Q57" i="2"/>
  <c r="AE57" i="2"/>
  <c r="Q58" i="2"/>
  <c r="AE58" i="2"/>
  <c r="H59" i="2"/>
  <c r="I59" i="2"/>
  <c r="J59" i="2"/>
  <c r="K59" i="2"/>
  <c r="L59" i="2"/>
  <c r="M59" i="2"/>
  <c r="N59" i="2"/>
  <c r="O59" i="2"/>
  <c r="P59" i="2"/>
  <c r="Q59" i="2"/>
  <c r="R59" i="2"/>
  <c r="S59" i="2"/>
  <c r="T59" i="2"/>
  <c r="U59" i="2"/>
  <c r="V59" i="2"/>
  <c r="W59" i="2"/>
  <c r="X59" i="2"/>
  <c r="Y59" i="2"/>
  <c r="Z59" i="2"/>
  <c r="AA59" i="2"/>
  <c r="AB59" i="2"/>
  <c r="AC59" i="2"/>
  <c r="AD59" i="2"/>
  <c r="AE59" i="2"/>
  <c r="H61" i="2"/>
  <c r="I61" i="2"/>
  <c r="J61" i="2"/>
  <c r="K61" i="2"/>
  <c r="L61" i="2"/>
  <c r="M61" i="2"/>
  <c r="N61" i="2"/>
  <c r="O61" i="2"/>
  <c r="P61" i="2"/>
  <c r="R61" i="2"/>
  <c r="T61" i="2"/>
  <c r="U61" i="2"/>
  <c r="V61" i="2"/>
  <c r="X61" i="2"/>
  <c r="Y61" i="2"/>
  <c r="Z61" i="2"/>
  <c r="AB61" i="2"/>
  <c r="AC61" i="2"/>
  <c r="AD61" i="2"/>
  <c r="Q63" i="2"/>
  <c r="AE63" i="2"/>
  <c r="Q65" i="2"/>
  <c r="AE65" i="2"/>
  <c r="H3" i="17"/>
  <c r="L3" i="17"/>
  <c r="P3" i="17"/>
  <c r="X5" i="17"/>
  <c r="AE5" i="17"/>
  <c r="C8" i="17"/>
  <c r="K9" i="17"/>
  <c r="O9" i="17"/>
  <c r="S9" i="17"/>
  <c r="K10" i="17"/>
  <c r="O10" i="17"/>
  <c r="S10" i="17"/>
  <c r="K11" i="17"/>
  <c r="O11" i="17"/>
  <c r="S11" i="17"/>
  <c r="K12" i="17"/>
  <c r="O12" i="17"/>
  <c r="V12" i="17" s="1"/>
  <c r="S12" i="17"/>
  <c r="U12" i="17"/>
  <c r="K13" i="17"/>
  <c r="O13" i="17"/>
  <c r="S13" i="17"/>
  <c r="U13" i="17"/>
  <c r="K14" i="17"/>
  <c r="O14" i="17"/>
  <c r="O16" i="17" s="1"/>
  <c r="S14" i="17"/>
  <c r="K15" i="17"/>
  <c r="O15" i="17"/>
  <c r="S15" i="17"/>
  <c r="H16" i="17"/>
  <c r="I16" i="17"/>
  <c r="J16" i="17"/>
  <c r="K16" i="17"/>
  <c r="L16" i="17"/>
  <c r="M16" i="17"/>
  <c r="N16" i="17"/>
  <c r="P16" i="17"/>
  <c r="Q16" i="17"/>
  <c r="R16" i="17"/>
  <c r="S16" i="17"/>
  <c r="C17" i="17"/>
  <c r="K18" i="17"/>
  <c r="O18" i="17"/>
  <c r="S18" i="17"/>
  <c r="K19" i="17"/>
  <c r="O19" i="17"/>
  <c r="S19" i="17"/>
  <c r="U19" i="17"/>
  <c r="K20" i="17"/>
  <c r="O20" i="17"/>
  <c r="S20" i="17"/>
  <c r="U20" i="17"/>
  <c r="K21" i="17"/>
  <c r="O21" i="17"/>
  <c r="S21" i="17"/>
  <c r="K22" i="17"/>
  <c r="O22" i="17"/>
  <c r="S22" i="17"/>
  <c r="K23" i="17"/>
  <c r="O23" i="17"/>
  <c r="S23" i="17"/>
  <c r="U23" i="17"/>
  <c r="K24" i="17"/>
  <c r="O24" i="17"/>
  <c r="S24" i="17"/>
  <c r="U24" i="17"/>
  <c r="H25" i="17"/>
  <c r="I25" i="17"/>
  <c r="J25" i="17"/>
  <c r="L25" i="17"/>
  <c r="M25" i="17"/>
  <c r="N25" i="17"/>
  <c r="P25" i="17"/>
  <c r="Q25" i="17"/>
  <c r="R25" i="17"/>
  <c r="H27" i="17"/>
  <c r="I27" i="17"/>
  <c r="J27" i="17"/>
  <c r="L27" i="17"/>
  <c r="M27" i="17"/>
  <c r="N27" i="17"/>
  <c r="P27" i="17"/>
  <c r="Q27" i="17"/>
  <c r="R27" i="17"/>
  <c r="H28" i="17"/>
  <c r="I28" i="17"/>
  <c r="J28" i="17"/>
  <c r="L28" i="17"/>
  <c r="O28" i="17" s="1"/>
  <c r="M28" i="17"/>
  <c r="N28" i="17"/>
  <c r="P28" i="17"/>
  <c r="Q28" i="17"/>
  <c r="R28" i="17"/>
  <c r="H29" i="17"/>
  <c r="K29" i="17" s="1"/>
  <c r="T29" i="17" s="1"/>
  <c r="I29" i="17"/>
  <c r="J29" i="17"/>
  <c r="L29" i="17"/>
  <c r="M29" i="17"/>
  <c r="N29" i="17"/>
  <c r="P29" i="17"/>
  <c r="Q29" i="17"/>
  <c r="R29" i="17"/>
  <c r="R34" i="17" s="1"/>
  <c r="R46" i="17" s="1"/>
  <c r="H30" i="17"/>
  <c r="I30" i="17"/>
  <c r="J30" i="17"/>
  <c r="K30" i="17"/>
  <c r="L30" i="17"/>
  <c r="M30" i="17"/>
  <c r="N30" i="17"/>
  <c r="O30" i="17"/>
  <c r="P30" i="17"/>
  <c r="Q30" i="17"/>
  <c r="R30" i="17"/>
  <c r="S30" i="17"/>
  <c r="H31" i="17"/>
  <c r="K31" i="17" s="1"/>
  <c r="I31" i="17"/>
  <c r="J31" i="17"/>
  <c r="L31" i="17"/>
  <c r="O31" i="17" s="1"/>
  <c r="M31" i="17"/>
  <c r="N31" i="17"/>
  <c r="P31" i="17"/>
  <c r="S31" i="17" s="1"/>
  <c r="Q31" i="17"/>
  <c r="R31" i="17"/>
  <c r="H32" i="17"/>
  <c r="I32" i="17"/>
  <c r="J32" i="17"/>
  <c r="L32" i="17"/>
  <c r="O32" i="17" s="1"/>
  <c r="M32" i="17"/>
  <c r="N32" i="17"/>
  <c r="P32" i="17"/>
  <c r="Q32" i="17"/>
  <c r="R32" i="17"/>
  <c r="H33" i="17"/>
  <c r="K33" i="17" s="1"/>
  <c r="T33" i="17" s="1"/>
  <c r="I33" i="17"/>
  <c r="J33" i="17"/>
  <c r="J34" i="17" s="1"/>
  <c r="J46" i="17" s="1"/>
  <c r="L33" i="17"/>
  <c r="M33" i="17"/>
  <c r="N33" i="17"/>
  <c r="P33" i="17"/>
  <c r="Q33" i="17"/>
  <c r="R33" i="17"/>
  <c r="K37" i="17"/>
  <c r="T37" i="17" s="1"/>
  <c r="O37" i="17"/>
  <c r="S37" i="17"/>
  <c r="K38" i="17"/>
  <c r="O38" i="17"/>
  <c r="U38" i="17" s="1"/>
  <c r="V38" i="17" s="1"/>
  <c r="S38" i="17"/>
  <c r="T38" i="17"/>
  <c r="Z38" i="17"/>
  <c r="AB38" i="17" s="1"/>
  <c r="AC38" i="17" s="1"/>
  <c r="AA38" i="17"/>
  <c r="K39" i="17"/>
  <c r="T39" i="17" s="1"/>
  <c r="O39" i="17"/>
  <c r="S39" i="17"/>
  <c r="K40" i="17"/>
  <c r="O40" i="17"/>
  <c r="U40" i="17" s="1"/>
  <c r="V40" i="17" s="1"/>
  <c r="S40" i="17"/>
  <c r="S44" i="17" s="1"/>
  <c r="T40" i="17"/>
  <c r="AA40" i="17"/>
  <c r="K41" i="17"/>
  <c r="T41" i="17" s="1"/>
  <c r="O41" i="17"/>
  <c r="S41" i="17"/>
  <c r="K42" i="17"/>
  <c r="O42" i="17"/>
  <c r="U42" i="17" s="1"/>
  <c r="V42" i="17" s="1"/>
  <c r="S42" i="17"/>
  <c r="T42" i="17"/>
  <c r="K43" i="17"/>
  <c r="T43" i="17" s="1"/>
  <c r="O43" i="17"/>
  <c r="S43" i="17"/>
  <c r="H44" i="17"/>
  <c r="I44" i="17"/>
  <c r="J44" i="17"/>
  <c r="L44" i="17"/>
  <c r="M44" i="17"/>
  <c r="N44" i="17"/>
  <c r="P44" i="17"/>
  <c r="Q44" i="17"/>
  <c r="R44" i="17"/>
  <c r="T49" i="17"/>
  <c r="U49" i="17"/>
  <c r="V49" i="17"/>
  <c r="Z49" i="17"/>
  <c r="T50" i="17"/>
  <c r="U50" i="17"/>
  <c r="V50" i="17"/>
  <c r="Z50" i="17"/>
  <c r="AA50" i="17"/>
  <c r="T51" i="17"/>
  <c r="U51" i="17"/>
  <c r="T52" i="17"/>
  <c r="U52" i="17"/>
  <c r="V52" i="17"/>
  <c r="T53" i="17"/>
  <c r="U53" i="17"/>
  <c r="V53" i="17"/>
  <c r="Z53" i="17" s="1"/>
  <c r="T54" i="17"/>
  <c r="U54" i="17"/>
  <c r="V54" i="17"/>
  <c r="Z54" i="17"/>
  <c r="AA54" i="17"/>
  <c r="T55" i="17"/>
  <c r="U55" i="17"/>
  <c r="K56" i="17"/>
  <c r="O56" i="17"/>
  <c r="S56" i="17"/>
  <c r="T60" i="17"/>
  <c r="U60" i="17"/>
  <c r="V60" i="17"/>
  <c r="T61" i="17"/>
  <c r="U61" i="17"/>
  <c r="V61" i="17"/>
  <c r="Z61" i="17" s="1"/>
  <c r="T63" i="17"/>
  <c r="U63" i="17"/>
  <c r="V63" i="17"/>
  <c r="Z63" i="17"/>
  <c r="AA63" i="17"/>
  <c r="T64" i="17"/>
  <c r="U64" i="17"/>
  <c r="K65" i="17"/>
  <c r="O65" i="17"/>
  <c r="S65" i="17"/>
  <c r="H3" i="14"/>
  <c r="I3" i="14"/>
  <c r="J3" i="14"/>
  <c r="H7" i="14"/>
  <c r="H7" i="9" s="1"/>
  <c r="H11" i="14"/>
  <c r="H12" i="14"/>
  <c r="H13" i="14"/>
  <c r="H14" i="14"/>
  <c r="H15" i="14"/>
  <c r="H16" i="14"/>
  <c r="H17" i="14"/>
  <c r="H18" i="14"/>
  <c r="H19" i="14"/>
  <c r="I20" i="14"/>
  <c r="I27" i="14" s="1"/>
  <c r="I37" i="14" s="1"/>
  <c r="I59" i="14" s="1"/>
  <c r="I67" i="14" s="1"/>
  <c r="J20" i="14"/>
  <c r="J27" i="14" s="1"/>
  <c r="J37" i="14" s="1"/>
  <c r="H21" i="14"/>
  <c r="H23" i="14"/>
  <c r="H24" i="14"/>
  <c r="H25" i="14"/>
  <c r="H28" i="14"/>
  <c r="H29" i="14"/>
  <c r="H30" i="14"/>
  <c r="I32" i="14"/>
  <c r="J32" i="14"/>
  <c r="H33" i="14"/>
  <c r="H34" i="14"/>
  <c r="H35" i="14"/>
  <c r="H36" i="14"/>
  <c r="I36" i="14"/>
  <c r="J36" i="14"/>
  <c r="H44" i="14"/>
  <c r="I44" i="14"/>
  <c r="I55" i="14" s="1"/>
  <c r="J44" i="14"/>
  <c r="H48" i="14"/>
  <c r="I48" i="14"/>
  <c r="J48" i="14"/>
  <c r="H55" i="14"/>
  <c r="H9" i="9" s="1"/>
  <c r="H65" i="14"/>
  <c r="H11" i="9" s="1"/>
  <c r="I65" i="14"/>
  <c r="J65" i="14"/>
  <c r="H15" i="15"/>
  <c r="J103" i="21" s="1"/>
  <c r="H13" i="19"/>
  <c r="H10" i="18"/>
  <c r="J6" i="3"/>
  <c r="O6" i="3"/>
  <c r="J7" i="3"/>
  <c r="O7" i="3"/>
  <c r="J8" i="3"/>
  <c r="O8" i="3"/>
  <c r="J9" i="3"/>
  <c r="O9" i="3"/>
  <c r="J10" i="3"/>
  <c r="O10" i="3"/>
  <c r="J11" i="3"/>
  <c r="O11" i="3"/>
  <c r="J12" i="3"/>
  <c r="H112" i="21" s="1"/>
  <c r="O12" i="3"/>
  <c r="J13" i="3"/>
  <c r="J113" i="21" s="1"/>
  <c r="O13" i="3"/>
  <c r="J14" i="3"/>
  <c r="O14" i="3"/>
  <c r="J15" i="3"/>
  <c r="O15" i="3"/>
  <c r="J16" i="3"/>
  <c r="O16" i="3"/>
  <c r="J17" i="3"/>
  <c r="O17" i="3"/>
  <c r="J18" i="3"/>
  <c r="O18" i="3"/>
  <c r="J19" i="3"/>
  <c r="O19" i="3"/>
  <c r="J20" i="3"/>
  <c r="H120" i="21" s="1"/>
  <c r="O20" i="3"/>
  <c r="J21" i="3"/>
  <c r="J121" i="21" s="1"/>
  <c r="O21" i="3"/>
  <c r="J22" i="3"/>
  <c r="O22" i="3"/>
  <c r="J23" i="3"/>
  <c r="O23" i="3"/>
  <c r="J24" i="3"/>
  <c r="O24" i="3"/>
  <c r="J25" i="3"/>
  <c r="O25" i="3"/>
  <c r="J26" i="3"/>
  <c r="O26" i="3"/>
  <c r="J27" i="3"/>
  <c r="O27" i="3"/>
  <c r="J28" i="3"/>
  <c r="O28" i="3"/>
  <c r="J29" i="3"/>
  <c r="J129" i="21" s="1"/>
  <c r="O29" i="3"/>
  <c r="J30" i="3"/>
  <c r="O30" i="3"/>
  <c r="J31" i="3"/>
  <c r="O31" i="3"/>
  <c r="J32" i="3"/>
  <c r="O32" i="3"/>
  <c r="J33" i="3"/>
  <c r="O33" i="3"/>
  <c r="J34" i="3"/>
  <c r="O34" i="3"/>
  <c r="J35" i="3"/>
  <c r="O35" i="3"/>
  <c r="J36" i="3"/>
  <c r="H136" i="21" s="1"/>
  <c r="O36" i="3"/>
  <c r="J37" i="3"/>
  <c r="O37" i="3"/>
  <c r="J38" i="3"/>
  <c r="O38" i="3"/>
  <c r="J39" i="3"/>
  <c r="O39" i="3"/>
  <c r="J40" i="3"/>
  <c r="O40" i="3"/>
  <c r="J41" i="3"/>
  <c r="O41" i="3"/>
  <c r="J42" i="3"/>
  <c r="O42" i="3"/>
  <c r="J43" i="3"/>
  <c r="O43" i="3"/>
  <c r="J44" i="3"/>
  <c r="O44" i="3"/>
  <c r="J45" i="3"/>
  <c r="O45" i="3"/>
  <c r="J46" i="3"/>
  <c r="O46" i="3"/>
  <c r="J47" i="3"/>
  <c r="O47" i="3"/>
  <c r="J48" i="3"/>
  <c r="O48" i="3"/>
  <c r="J49" i="3"/>
  <c r="O49" i="3"/>
  <c r="J50" i="3"/>
  <c r="O50" i="3"/>
  <c r="H51" i="3"/>
  <c r="I51" i="3"/>
  <c r="J51" i="3"/>
  <c r="L51" i="3"/>
  <c r="M51" i="3"/>
  <c r="J53" i="3"/>
  <c r="O53" i="3"/>
  <c r="J56" i="3"/>
  <c r="O56" i="3"/>
  <c r="O58" i="3"/>
  <c r="O59" i="3"/>
  <c r="J60" i="3"/>
  <c r="O60" i="3"/>
  <c r="H61" i="3"/>
  <c r="I61" i="3"/>
  <c r="I63" i="3" s="1"/>
  <c r="I106" i="3" s="1"/>
  <c r="L61" i="3"/>
  <c r="M61" i="3"/>
  <c r="J62" i="3"/>
  <c r="O62" i="3"/>
  <c r="L63" i="3"/>
  <c r="M63" i="3"/>
  <c r="M106" i="3" s="1"/>
  <c r="J66" i="3"/>
  <c r="O66" i="3"/>
  <c r="J67" i="3"/>
  <c r="J68" i="3" s="1"/>
  <c r="I68" i="3"/>
  <c r="L68" i="3"/>
  <c r="G7" i="27" s="1"/>
  <c r="M68" i="3"/>
  <c r="N68" i="3"/>
  <c r="J71" i="3"/>
  <c r="O71" i="3"/>
  <c r="J72" i="3"/>
  <c r="O72" i="3"/>
  <c r="I73" i="3"/>
  <c r="J73" i="3"/>
  <c r="O73" i="3" s="1"/>
  <c r="L73" i="3"/>
  <c r="M73" i="3"/>
  <c r="N73" i="3"/>
  <c r="N106" i="3" s="1"/>
  <c r="H19" i="9" s="1"/>
  <c r="J77" i="3"/>
  <c r="O77" i="3"/>
  <c r="J78" i="3"/>
  <c r="O78" i="3"/>
  <c r="O86" i="3" s="1"/>
  <c r="O99" i="3" s="1"/>
  <c r="J79" i="3"/>
  <c r="O79" i="3"/>
  <c r="J80" i="3"/>
  <c r="O80" i="3"/>
  <c r="J81" i="3"/>
  <c r="O81" i="3"/>
  <c r="J82" i="3"/>
  <c r="O82" i="3"/>
  <c r="J83" i="3"/>
  <c r="O83" i="3"/>
  <c r="J84" i="3"/>
  <c r="O84" i="3"/>
  <c r="J85" i="3"/>
  <c r="O85" i="3"/>
  <c r="H86" i="3"/>
  <c r="H99" i="3" s="1"/>
  <c r="I86" i="3"/>
  <c r="I99" i="3" s="1"/>
  <c r="L86" i="3"/>
  <c r="M86" i="3"/>
  <c r="M99" i="3" s="1"/>
  <c r="J87" i="3"/>
  <c r="O87" i="3"/>
  <c r="J88" i="3"/>
  <c r="O88" i="3"/>
  <c r="J89" i="3"/>
  <c r="O89" i="3"/>
  <c r="J90" i="3"/>
  <c r="O90" i="3"/>
  <c r="J91" i="3"/>
  <c r="O91" i="3"/>
  <c r="J92" i="3"/>
  <c r="O92" i="3"/>
  <c r="J93" i="3"/>
  <c r="O93" i="3"/>
  <c r="J94" i="3"/>
  <c r="O94" i="3"/>
  <c r="J88" i="21" s="1"/>
  <c r="J95" i="3"/>
  <c r="O95" i="3"/>
  <c r="J96" i="3"/>
  <c r="O96" i="3"/>
  <c r="J97" i="3"/>
  <c r="O97" i="3"/>
  <c r="J98" i="3"/>
  <c r="O98" i="3"/>
  <c r="L99" i="3"/>
  <c r="J102" i="3"/>
  <c r="O102" i="3"/>
  <c r="J103" i="3"/>
  <c r="O103" i="3" s="1"/>
  <c r="H104" i="3"/>
  <c r="I104" i="3"/>
  <c r="K104" i="3"/>
  <c r="L104" i="3"/>
  <c r="M104" i="3"/>
  <c r="N104" i="3"/>
  <c r="K106" i="3"/>
  <c r="H16" i="9" s="1"/>
  <c r="O6" i="7"/>
  <c r="J155" i="21" s="1"/>
  <c r="O7" i="7"/>
  <c r="O10" i="7"/>
  <c r="O11" i="7"/>
  <c r="O14" i="7"/>
  <c r="O15" i="7"/>
  <c r="H17" i="7"/>
  <c r="J166" i="21" s="1"/>
  <c r="I17" i="7"/>
  <c r="J17" i="7"/>
  <c r="O17" i="7" s="1"/>
  <c r="K17" i="7"/>
  <c r="L17" i="7"/>
  <c r="M17" i="7"/>
  <c r="N17" i="7"/>
  <c r="N1" i="28"/>
  <c r="I173" i="21" s="1"/>
  <c r="B2" i="28"/>
  <c r="H3" i="28"/>
  <c r="I3" i="28"/>
  <c r="J3" i="28"/>
  <c r="K3" i="28"/>
  <c r="L3" i="28"/>
  <c r="N5" i="28"/>
  <c r="N6" i="28"/>
  <c r="O6" i="28"/>
  <c r="P6" i="28"/>
  <c r="Q6" i="28"/>
  <c r="R6" i="28"/>
  <c r="S6" i="28"/>
  <c r="T6" i="28"/>
  <c r="U6" i="28"/>
  <c r="W6" i="28" s="1"/>
  <c r="V6" i="28"/>
  <c r="X6" i="28"/>
  <c r="Z6" i="28" s="1"/>
  <c r="Y6" i="28"/>
  <c r="N7" i="28"/>
  <c r="O7" i="28"/>
  <c r="Q7" i="28" s="1"/>
  <c r="P7" i="28"/>
  <c r="R7" i="28"/>
  <c r="S7" i="28"/>
  <c r="T7" i="28"/>
  <c r="U7" i="28"/>
  <c r="V7" i="28"/>
  <c r="W7" i="28"/>
  <c r="X7" i="28"/>
  <c r="Z7" i="28" s="1"/>
  <c r="Y7" i="28"/>
  <c r="N8" i="28"/>
  <c r="O8" i="28"/>
  <c r="Q8" i="28" s="1"/>
  <c r="P8" i="28"/>
  <c r="R8" i="28"/>
  <c r="T8" i="28" s="1"/>
  <c r="S8" i="28"/>
  <c r="U8" i="28"/>
  <c r="V8" i="28"/>
  <c r="W8" i="28"/>
  <c r="X8" i="28"/>
  <c r="Y8" i="28"/>
  <c r="Z8" i="28"/>
  <c r="N9" i="28"/>
  <c r="O9" i="28"/>
  <c r="P9" i="28"/>
  <c r="Q9" i="28"/>
  <c r="R9" i="28"/>
  <c r="T9" i="28" s="1"/>
  <c r="S9" i="28"/>
  <c r="U9" i="28"/>
  <c r="W9" i="28" s="1"/>
  <c r="V9" i="28"/>
  <c r="X9" i="28"/>
  <c r="Y9" i="28"/>
  <c r="Z9" i="28"/>
  <c r="N10" i="28"/>
  <c r="O10" i="28"/>
  <c r="P10" i="28"/>
  <c r="Q10" i="28"/>
  <c r="R10" i="28"/>
  <c r="S10" i="28"/>
  <c r="T10" i="28"/>
  <c r="U10" i="28"/>
  <c r="W10" i="28" s="1"/>
  <c r="V10" i="28"/>
  <c r="X10" i="28"/>
  <c r="Z10" i="28" s="1"/>
  <c r="Y10" i="28"/>
  <c r="N11" i="28"/>
  <c r="O11" i="28"/>
  <c r="Q11" i="28" s="1"/>
  <c r="P11" i="28"/>
  <c r="R11" i="28"/>
  <c r="S11" i="28"/>
  <c r="T11" i="28"/>
  <c r="U11" i="28"/>
  <c r="V11" i="28"/>
  <c r="W11" i="28"/>
  <c r="X11" i="28"/>
  <c r="Z11" i="28" s="1"/>
  <c r="Y11" i="28"/>
  <c r="N15" i="28"/>
  <c r="O15" i="28"/>
  <c r="Q15" i="28" s="1"/>
  <c r="P15" i="28"/>
  <c r="R15" i="28"/>
  <c r="T15" i="28" s="1"/>
  <c r="S15" i="28"/>
  <c r="U15" i="28"/>
  <c r="V15" i="28"/>
  <c r="W15" i="28"/>
  <c r="X15" i="28"/>
  <c r="Y15" i="28"/>
  <c r="Z15" i="28"/>
  <c r="N16" i="28"/>
  <c r="O16" i="28"/>
  <c r="P16" i="28"/>
  <c r="Q16" i="28"/>
  <c r="R16" i="28"/>
  <c r="T16" i="28" s="1"/>
  <c r="S16" i="28"/>
  <c r="U16" i="28"/>
  <c r="W16" i="28" s="1"/>
  <c r="V16" i="28"/>
  <c r="X16" i="28"/>
  <c r="Y16" i="28"/>
  <c r="Z16" i="28"/>
  <c r="N17" i="28"/>
  <c r="O17" i="28"/>
  <c r="P17" i="28"/>
  <c r="Q17" i="28"/>
  <c r="R17" i="28"/>
  <c r="S17" i="28"/>
  <c r="T17" i="28"/>
  <c r="U17" i="28"/>
  <c r="W17" i="28" s="1"/>
  <c r="V17" i="28"/>
  <c r="X17" i="28"/>
  <c r="Z17" i="28" s="1"/>
  <c r="Y17" i="28"/>
  <c r="N18" i="28"/>
  <c r="O18" i="28"/>
  <c r="Q18" i="28" s="1"/>
  <c r="P18" i="28"/>
  <c r="R18" i="28"/>
  <c r="S18" i="28"/>
  <c r="T18" i="28"/>
  <c r="U18" i="28"/>
  <c r="V18" i="28"/>
  <c r="W18" i="28"/>
  <c r="X18" i="28"/>
  <c r="Z18" i="28" s="1"/>
  <c r="Y18" i="28"/>
  <c r="N19" i="28"/>
  <c r="O19" i="28"/>
  <c r="Q19" i="28" s="1"/>
  <c r="P19" i="28"/>
  <c r="R19" i="28"/>
  <c r="S19" i="28"/>
  <c r="U19" i="28"/>
  <c r="W19" i="28" s="1"/>
  <c r="V19" i="28"/>
  <c r="X19" i="28"/>
  <c r="Z19" i="28" s="1"/>
  <c r="Y19" i="28"/>
  <c r="N24" i="28"/>
  <c r="O24" i="28"/>
  <c r="P24" i="28"/>
  <c r="Q24" i="28"/>
  <c r="R24" i="28"/>
  <c r="T24" i="28" s="1"/>
  <c r="S24" i="28"/>
  <c r="U24" i="28"/>
  <c r="W24" i="28" s="1"/>
  <c r="V24" i="28"/>
  <c r="X24" i="28"/>
  <c r="Y24" i="28"/>
  <c r="Z24" i="28"/>
  <c r="N26" i="28"/>
  <c r="O26" i="28"/>
  <c r="P26" i="28"/>
  <c r="Q26" i="28"/>
  <c r="R26" i="28"/>
  <c r="S26" i="28"/>
  <c r="T26" i="28"/>
  <c r="U26" i="28"/>
  <c r="W26" i="28" s="1"/>
  <c r="V26" i="28"/>
  <c r="X26" i="28"/>
  <c r="Z26" i="28" s="1"/>
  <c r="Y26" i="28"/>
  <c r="N27" i="28"/>
  <c r="O27" i="28"/>
  <c r="Q27" i="28" s="1"/>
  <c r="P27" i="28"/>
  <c r="R27" i="28"/>
  <c r="S27" i="28"/>
  <c r="T27" i="28"/>
  <c r="U27" i="28"/>
  <c r="V27" i="28"/>
  <c r="W27" i="28"/>
  <c r="X27" i="28"/>
  <c r="Z27" i="28" s="1"/>
  <c r="Y27" i="28"/>
  <c r="N28" i="28"/>
  <c r="O28" i="28"/>
  <c r="Q28" i="28" s="1"/>
  <c r="P28" i="28"/>
  <c r="R28" i="28"/>
  <c r="T28" i="28" s="1"/>
  <c r="S28" i="28"/>
  <c r="U28" i="28"/>
  <c r="V28" i="28"/>
  <c r="W28" i="28"/>
  <c r="X28" i="28"/>
  <c r="Y28" i="28"/>
  <c r="Z28" i="28"/>
  <c r="N32" i="28"/>
  <c r="O32" i="28"/>
  <c r="P32" i="28"/>
  <c r="Q32" i="28"/>
  <c r="R32" i="28"/>
  <c r="T32" i="28" s="1"/>
  <c r="S32" i="28"/>
  <c r="U32" i="28"/>
  <c r="W32" i="28" s="1"/>
  <c r="V32" i="28"/>
  <c r="X32" i="28"/>
  <c r="Y32" i="28"/>
  <c r="Z32" i="28"/>
  <c r="N36" i="28"/>
  <c r="O36" i="28"/>
  <c r="P36" i="28"/>
  <c r="Q36" i="28"/>
  <c r="R36" i="28"/>
  <c r="S36" i="28"/>
  <c r="T36" i="28"/>
  <c r="U36" i="28"/>
  <c r="W36" i="28" s="1"/>
  <c r="V36" i="28"/>
  <c r="X36" i="28"/>
  <c r="Z36" i="28" s="1"/>
  <c r="Y36" i="28"/>
  <c r="N37" i="28"/>
  <c r="O37" i="28"/>
  <c r="Q37" i="28" s="1"/>
  <c r="P37" i="28"/>
  <c r="R37" i="28"/>
  <c r="S37" i="28"/>
  <c r="T37" i="28"/>
  <c r="U37" i="28"/>
  <c r="V37" i="28"/>
  <c r="W37" i="28"/>
  <c r="X37" i="28"/>
  <c r="Z37" i="28" s="1"/>
  <c r="Y37" i="28"/>
  <c r="N38" i="28"/>
  <c r="O38" i="28"/>
  <c r="Q38" i="28" s="1"/>
  <c r="P38" i="28"/>
  <c r="R38" i="28"/>
  <c r="T38" i="28" s="1"/>
  <c r="S38" i="28"/>
  <c r="U38" i="28"/>
  <c r="V38" i="28"/>
  <c r="W38" i="28"/>
  <c r="X38" i="28"/>
  <c r="Y38" i="28"/>
  <c r="Z38" i="28"/>
  <c r="N39" i="28"/>
  <c r="O39" i="28"/>
  <c r="P39" i="28"/>
  <c r="Q39" i="28"/>
  <c r="R39" i="28"/>
  <c r="T39" i="28" s="1"/>
  <c r="S39" i="28"/>
  <c r="U39" i="28"/>
  <c r="W39" i="28" s="1"/>
  <c r="V39" i="28"/>
  <c r="X39" i="28"/>
  <c r="Y39" i="28"/>
  <c r="Z39" i="28"/>
  <c r="N44" i="28"/>
  <c r="O44" i="28"/>
  <c r="P44" i="28"/>
  <c r="Q44" i="28"/>
  <c r="R44" i="28"/>
  <c r="S44" i="28"/>
  <c r="T44" i="28"/>
  <c r="U44" i="28"/>
  <c r="W44" i="28" s="1"/>
  <c r="V44" i="28"/>
  <c r="X44" i="28"/>
  <c r="Z44" i="28" s="1"/>
  <c r="Y44" i="28"/>
  <c r="N45" i="28"/>
  <c r="O45" i="28"/>
  <c r="Q45" i="28" s="1"/>
  <c r="P45" i="28"/>
  <c r="R45" i="28"/>
  <c r="S45" i="28"/>
  <c r="T45" i="28"/>
  <c r="U45" i="28"/>
  <c r="V45" i="28"/>
  <c r="W45" i="28"/>
  <c r="X45" i="28"/>
  <c r="Z45" i="28" s="1"/>
  <c r="Y45" i="28"/>
  <c r="N46" i="28"/>
  <c r="O46" i="28"/>
  <c r="Q46" i="28" s="1"/>
  <c r="P46" i="28"/>
  <c r="R46" i="28"/>
  <c r="T46" i="28" s="1"/>
  <c r="S46" i="28"/>
  <c r="U46" i="28"/>
  <c r="V46" i="28"/>
  <c r="W46" i="28"/>
  <c r="X46" i="28"/>
  <c r="Y46" i="28"/>
  <c r="Z46" i="28"/>
  <c r="N47" i="28"/>
  <c r="O47" i="28"/>
  <c r="P47" i="28"/>
  <c r="Q47" i="28"/>
  <c r="R47" i="28"/>
  <c r="T47" i="28" s="1"/>
  <c r="S47" i="28"/>
  <c r="U47" i="28"/>
  <c r="W47" i="28" s="1"/>
  <c r="V47" i="28"/>
  <c r="X47" i="28"/>
  <c r="Y47" i="28"/>
  <c r="Z47" i="28"/>
  <c r="N49" i="28"/>
  <c r="O49" i="28"/>
  <c r="P49" i="28"/>
  <c r="Q49" i="28"/>
  <c r="R49" i="28"/>
  <c r="S49" i="28"/>
  <c r="T49" i="28"/>
  <c r="U49" i="28"/>
  <c r="W49" i="28" s="1"/>
  <c r="V49" i="28"/>
  <c r="X49" i="28"/>
  <c r="Z49" i="28" s="1"/>
  <c r="Y49" i="28"/>
  <c r="N53" i="28"/>
  <c r="O53" i="28"/>
  <c r="Q53" i="28" s="1"/>
  <c r="P53" i="28"/>
  <c r="R53" i="28"/>
  <c r="S53" i="28"/>
  <c r="T53" i="28"/>
  <c r="U53" i="28"/>
  <c r="V53" i="28"/>
  <c r="W53" i="28"/>
  <c r="X53" i="28"/>
  <c r="Z53" i="28" s="1"/>
  <c r="Y53" i="28"/>
  <c r="N54" i="28"/>
  <c r="O54" i="28"/>
  <c r="Q54" i="28" s="1"/>
  <c r="P54" i="28"/>
  <c r="R54" i="28"/>
  <c r="T54" i="28" s="1"/>
  <c r="S54" i="28"/>
  <c r="U54" i="28"/>
  <c r="V54" i="28"/>
  <c r="W54" i="28"/>
  <c r="X54" i="28"/>
  <c r="Y54" i="28"/>
  <c r="Z54" i="28"/>
  <c r="T3" i="31"/>
  <c r="V3" i="31"/>
  <c r="X3" i="31"/>
  <c r="Z3" i="31"/>
  <c r="H4" i="31"/>
  <c r="I4" i="31"/>
  <c r="J4" i="31"/>
  <c r="K4" i="31"/>
  <c r="L4" i="31"/>
  <c r="M4" i="31"/>
  <c r="N4" i="31"/>
  <c r="O4" i="31"/>
  <c r="P4" i="31"/>
  <c r="Q4" i="31"/>
  <c r="T4" i="31"/>
  <c r="U4" i="31"/>
  <c r="V4" i="31"/>
  <c r="W4" i="31"/>
  <c r="X4" i="31"/>
  <c r="Y4" i="31"/>
  <c r="Z4" i="31"/>
  <c r="AA4" i="31"/>
  <c r="T7" i="31"/>
  <c r="V7" i="31"/>
  <c r="X7" i="31"/>
  <c r="Z7" i="31"/>
  <c r="T8" i="31"/>
  <c r="V8" i="31"/>
  <c r="X8" i="31"/>
  <c r="Z8" i="31"/>
  <c r="P14" i="31"/>
  <c r="Q14" i="31"/>
  <c r="Q16" i="31" s="1"/>
  <c r="Q23" i="31" s="1"/>
  <c r="P15" i="31"/>
  <c r="P16" i="31" s="1"/>
  <c r="P23" i="31" s="1"/>
  <c r="Q15" i="31"/>
  <c r="H16" i="31"/>
  <c r="I16" i="31"/>
  <c r="J16" i="31"/>
  <c r="K16" i="31"/>
  <c r="L16" i="31"/>
  <c r="M16" i="31"/>
  <c r="N16" i="31"/>
  <c r="O16" i="31"/>
  <c r="P17" i="31"/>
  <c r="Q17" i="31"/>
  <c r="P18" i="31"/>
  <c r="Q18" i="31"/>
  <c r="P19" i="31"/>
  <c r="Q19" i="31"/>
  <c r="P20" i="31"/>
  <c r="Q20" i="31"/>
  <c r="P21" i="31"/>
  <c r="Q21" i="31"/>
  <c r="P22" i="31"/>
  <c r="Q22" i="31"/>
  <c r="I190" i="21" s="1"/>
  <c r="H23" i="31"/>
  <c r="I23" i="31"/>
  <c r="J23" i="31"/>
  <c r="K23" i="31"/>
  <c r="L23" i="31"/>
  <c r="M23" i="31"/>
  <c r="N23" i="31"/>
  <c r="O23" i="31"/>
  <c r="P26" i="31"/>
  <c r="Q26" i="31"/>
  <c r="Q30" i="31" s="1"/>
  <c r="P27" i="31"/>
  <c r="Q27" i="31"/>
  <c r="P28" i="31"/>
  <c r="Q28" i="31"/>
  <c r="P29" i="31"/>
  <c r="Q29" i="31"/>
  <c r="H30" i="31"/>
  <c r="I30" i="31"/>
  <c r="J30" i="31"/>
  <c r="K30" i="31"/>
  <c r="L30" i="31"/>
  <c r="M30" i="31"/>
  <c r="M45" i="31" s="1"/>
  <c r="N30" i="31"/>
  <c r="O30" i="31"/>
  <c r="P33" i="31"/>
  <c r="Q33" i="31"/>
  <c r="P34" i="31"/>
  <c r="Q34" i="31"/>
  <c r="Q36" i="31" s="1"/>
  <c r="P35" i="31"/>
  <c r="Q35" i="31"/>
  <c r="H36" i="31"/>
  <c r="I36" i="31"/>
  <c r="J36" i="31"/>
  <c r="J45" i="31" s="1"/>
  <c r="K36" i="31"/>
  <c r="L36" i="31"/>
  <c r="M36" i="31"/>
  <c r="N36" i="31"/>
  <c r="N45" i="31" s="1"/>
  <c r="O36" i="31"/>
  <c r="P39" i="31"/>
  <c r="Q39" i="31"/>
  <c r="P40" i="31"/>
  <c r="Q40" i="31"/>
  <c r="P41" i="31"/>
  <c r="Q41" i="31"/>
  <c r="P42" i="31"/>
  <c r="Q42" i="31"/>
  <c r="H43" i="31"/>
  <c r="I43" i="31"/>
  <c r="J43" i="31"/>
  <c r="K43" i="31"/>
  <c r="L43" i="31"/>
  <c r="M43" i="31"/>
  <c r="N43" i="31"/>
  <c r="O43" i="31"/>
  <c r="P43" i="31"/>
  <c r="I45" i="31"/>
  <c r="T47" i="31"/>
  <c r="U47" i="31"/>
  <c r="V47" i="31"/>
  <c r="W47" i="31"/>
  <c r="X47" i="31"/>
  <c r="Y47" i="31"/>
  <c r="Z47" i="31"/>
  <c r="AA47" i="31"/>
  <c r="T48" i="31"/>
  <c r="U48" i="31"/>
  <c r="V48" i="31"/>
  <c r="W48" i="31"/>
  <c r="X48" i="31"/>
  <c r="Y48" i="31"/>
  <c r="Z48" i="31"/>
  <c r="AA48" i="31"/>
  <c r="AC50" i="31"/>
  <c r="H3" i="30"/>
  <c r="I3" i="30"/>
  <c r="J3" i="30"/>
  <c r="H8" i="30"/>
  <c r="I8" i="30"/>
  <c r="J8" i="30"/>
  <c r="J17" i="30" s="1"/>
  <c r="H17" i="30"/>
  <c r="H19" i="30" s="1"/>
  <c r="I17" i="30"/>
  <c r="I19" i="30"/>
  <c r="J19" i="30"/>
  <c r="H24" i="30"/>
  <c r="I24" i="30"/>
  <c r="J24" i="30"/>
  <c r="H27" i="30"/>
  <c r="I27" i="30"/>
  <c r="J27" i="30"/>
  <c r="H3" i="32"/>
  <c r="I3" i="32"/>
  <c r="J3" i="32"/>
  <c r="G8" i="27"/>
  <c r="G9" i="27"/>
  <c r="G11" i="27"/>
  <c r="G13" i="27"/>
  <c r="L102" i="21" l="1"/>
  <c r="O68" i="3"/>
  <c r="L106" i="3"/>
  <c r="H17" i="9" s="1"/>
  <c r="K17" i="9" s="1"/>
  <c r="L17" i="9" s="1"/>
  <c r="J104" i="3"/>
  <c r="K76" i="21"/>
  <c r="N34" i="17"/>
  <c r="AA42" i="17"/>
  <c r="Q7" i="10"/>
  <c r="P7" i="10"/>
  <c r="R7" i="10" s="1"/>
  <c r="S7" i="10" s="1"/>
  <c r="K59" i="21"/>
  <c r="K16" i="10"/>
  <c r="L16" i="10" s="1"/>
  <c r="L59" i="21"/>
  <c r="U37" i="17"/>
  <c r="V37" i="17" s="1"/>
  <c r="L182" i="21"/>
  <c r="J169" i="21"/>
  <c r="L170" i="21"/>
  <c r="L169" i="21"/>
  <c r="AA49" i="17"/>
  <c r="U31" i="17"/>
  <c r="V31" i="17"/>
  <c r="T31" i="17"/>
  <c r="H18" i="9"/>
  <c r="H9" i="11"/>
  <c r="I161" i="21"/>
  <c r="J161" i="21"/>
  <c r="H161" i="21"/>
  <c r="K136" i="21"/>
  <c r="L136" i="21"/>
  <c r="K120" i="21"/>
  <c r="L120" i="21"/>
  <c r="K112" i="21"/>
  <c r="L112" i="21"/>
  <c r="J79" i="21"/>
  <c r="I79" i="21"/>
  <c r="H79" i="21"/>
  <c r="J89" i="21"/>
  <c r="H89" i="21"/>
  <c r="I89" i="21"/>
  <c r="H31" i="14"/>
  <c r="J85" i="21"/>
  <c r="H85" i="21"/>
  <c r="I85" i="21"/>
  <c r="H26" i="14"/>
  <c r="H82" i="21"/>
  <c r="J82" i="21"/>
  <c r="H22" i="14"/>
  <c r="I82" i="21"/>
  <c r="Q34" i="17"/>
  <c r="Q46" i="17" s="1"/>
  <c r="P34" i="17"/>
  <c r="P46" i="17" s="1"/>
  <c r="L34" i="17"/>
  <c r="L46" i="17" s="1"/>
  <c r="H94" i="21"/>
  <c r="J95" i="21"/>
  <c r="H96" i="21"/>
  <c r="J94" i="21"/>
  <c r="I95" i="21"/>
  <c r="I96" i="21"/>
  <c r="J96" i="21"/>
  <c r="I94" i="21"/>
  <c r="H34" i="17"/>
  <c r="H46" i="17" s="1"/>
  <c r="H95" i="21"/>
  <c r="O25" i="17"/>
  <c r="Q61" i="2"/>
  <c r="P16" i="22"/>
  <c r="R16" i="22" s="1"/>
  <c r="S16" i="22" s="1"/>
  <c r="Q16" i="22"/>
  <c r="L62" i="10"/>
  <c r="Q62" i="10" s="1"/>
  <c r="P62" i="10"/>
  <c r="K104" i="21"/>
  <c r="L104" i="21"/>
  <c r="J184" i="21"/>
  <c r="I184" i="21"/>
  <c r="H159" i="21"/>
  <c r="I159" i="21"/>
  <c r="J159" i="21"/>
  <c r="J172" i="21"/>
  <c r="I154" i="21"/>
  <c r="H154" i="21"/>
  <c r="J154" i="21"/>
  <c r="I150" i="21"/>
  <c r="H150" i="21"/>
  <c r="J150" i="21"/>
  <c r="I144" i="21"/>
  <c r="J144" i="21"/>
  <c r="I136" i="21"/>
  <c r="J136" i="21"/>
  <c r="I130" i="21"/>
  <c r="H130" i="21"/>
  <c r="J130" i="21"/>
  <c r="I126" i="21"/>
  <c r="H126" i="21"/>
  <c r="J126" i="21"/>
  <c r="I120" i="21"/>
  <c r="J120" i="21"/>
  <c r="I114" i="21"/>
  <c r="H114" i="21"/>
  <c r="J114" i="21"/>
  <c r="I106" i="21"/>
  <c r="H106" i="21"/>
  <c r="J106" i="21"/>
  <c r="H20" i="14"/>
  <c r="H27" i="14" s="1"/>
  <c r="AA61" i="17"/>
  <c r="AB61" i="17" s="1"/>
  <c r="AC61" i="17" s="1"/>
  <c r="AA53" i="17"/>
  <c r="AB53" i="17" s="1"/>
  <c r="AC53" i="17" s="1"/>
  <c r="AB50" i="17"/>
  <c r="AC50" i="17" s="1"/>
  <c r="U43" i="17"/>
  <c r="O33" i="17"/>
  <c r="S32" i="17"/>
  <c r="O29" i="17"/>
  <c r="S28" i="17"/>
  <c r="S27" i="17"/>
  <c r="O27" i="17"/>
  <c r="O34" i="17" s="1"/>
  <c r="K27" i="17"/>
  <c r="U22" i="17"/>
  <c r="S25" i="17"/>
  <c r="K25" i="17"/>
  <c r="U18" i="17"/>
  <c r="U15" i="17"/>
  <c r="J101" i="21"/>
  <c r="U9" i="17"/>
  <c r="I78" i="21"/>
  <c r="U5" i="11"/>
  <c r="L7" i="22"/>
  <c r="Q7" i="22" s="1"/>
  <c r="P7" i="22"/>
  <c r="K51" i="10"/>
  <c r="L51" i="10" s="1"/>
  <c r="R47" i="10"/>
  <c r="S47" i="10" s="1"/>
  <c r="L51" i="21"/>
  <c r="K51" i="21"/>
  <c r="J41" i="9"/>
  <c r="J54" i="9"/>
  <c r="K171" i="21"/>
  <c r="L171" i="21"/>
  <c r="P36" i="31"/>
  <c r="I162" i="21"/>
  <c r="H162" i="21"/>
  <c r="H155" i="21"/>
  <c r="J162" i="21"/>
  <c r="I155" i="21"/>
  <c r="J25" i="21"/>
  <c r="H25" i="21"/>
  <c r="I25" i="21"/>
  <c r="K7" i="9"/>
  <c r="J38" i="21"/>
  <c r="L7" i="9"/>
  <c r="J188" i="21"/>
  <c r="H188" i="21"/>
  <c r="I188" i="21"/>
  <c r="T19" i="28"/>
  <c r="J170" i="21" s="1"/>
  <c r="I170" i="21" s="1"/>
  <c r="O51" i="3"/>
  <c r="I146" i="21"/>
  <c r="H146" i="21"/>
  <c r="J146" i="21"/>
  <c r="I140" i="21"/>
  <c r="J140" i="21"/>
  <c r="H140" i="21"/>
  <c r="I134" i="21"/>
  <c r="H134" i="21"/>
  <c r="J134" i="21"/>
  <c r="I128" i="21"/>
  <c r="J128" i="21"/>
  <c r="I122" i="21"/>
  <c r="H122" i="21"/>
  <c r="J122" i="21"/>
  <c r="I116" i="21"/>
  <c r="J116" i="21"/>
  <c r="H116" i="21"/>
  <c r="I110" i="21"/>
  <c r="H110" i="21"/>
  <c r="J110" i="21"/>
  <c r="Q43" i="31"/>
  <c r="Q45" i="31" s="1"/>
  <c r="L45" i="31"/>
  <c r="H179" i="21" s="1"/>
  <c r="J86" i="3"/>
  <c r="J99" i="3" s="1"/>
  <c r="K19" i="9"/>
  <c r="L19" i="9" s="1"/>
  <c r="J61" i="3"/>
  <c r="I153" i="21"/>
  <c r="J153" i="21"/>
  <c r="H153" i="21"/>
  <c r="AB63" i="17"/>
  <c r="AC63" i="17" s="1"/>
  <c r="Z60" i="17"/>
  <c r="AA60" i="17"/>
  <c r="AB54" i="17"/>
  <c r="AC54" i="17" s="1"/>
  <c r="Z52" i="17"/>
  <c r="AB52" i="17" s="1"/>
  <c r="AC52" i="17" s="1"/>
  <c r="AA52" i="17"/>
  <c r="V51" i="17"/>
  <c r="AA51" i="17" s="1"/>
  <c r="AB49" i="17"/>
  <c r="AC49" i="17" s="1"/>
  <c r="O44" i="17"/>
  <c r="K44" i="17"/>
  <c r="Z42" i="17"/>
  <c r="AB42" i="17" s="1"/>
  <c r="AC42" i="17" s="1"/>
  <c r="U41" i="17"/>
  <c r="V41" i="17" s="1"/>
  <c r="S33" i="17"/>
  <c r="T30" i="17"/>
  <c r="U30" i="17"/>
  <c r="V30" i="17" s="1"/>
  <c r="S29" i="17"/>
  <c r="I34" i="17"/>
  <c r="I46" i="17" s="1"/>
  <c r="V22" i="17"/>
  <c r="U21" i="17"/>
  <c r="V18" i="17"/>
  <c r="V15" i="17"/>
  <c r="U14" i="17"/>
  <c r="V14" i="17" s="1"/>
  <c r="V9" i="17"/>
  <c r="J75" i="21"/>
  <c r="H75" i="21"/>
  <c r="I75" i="21"/>
  <c r="R18" i="22"/>
  <c r="S18" i="22" s="1"/>
  <c r="P8" i="22"/>
  <c r="Q8" i="22"/>
  <c r="K56" i="10"/>
  <c r="L56" i="10"/>
  <c r="L55" i="10"/>
  <c r="Q55" i="10" s="1"/>
  <c r="P55" i="10"/>
  <c r="H50" i="21"/>
  <c r="J50" i="21"/>
  <c r="K37" i="10"/>
  <c r="L37" i="10" s="1"/>
  <c r="H11" i="27"/>
  <c r="I11" i="27" s="1"/>
  <c r="I50" i="21"/>
  <c r="R30" i="10"/>
  <c r="S30" i="10" s="1"/>
  <c r="P14" i="10"/>
  <c r="R14" i="10" s="1"/>
  <c r="S14" i="10" s="1"/>
  <c r="L10" i="10"/>
  <c r="P10" i="10"/>
  <c r="R10" i="10" s="1"/>
  <c r="S10" i="10" s="1"/>
  <c r="Q10" i="10"/>
  <c r="L24" i="9"/>
  <c r="P24" i="9" s="1"/>
  <c r="R24" i="9" s="1"/>
  <c r="S24" i="9" s="1"/>
  <c r="Q24" i="9"/>
  <c r="H144" i="21"/>
  <c r="H128" i="21"/>
  <c r="H187" i="21"/>
  <c r="H178" i="21"/>
  <c r="H186" i="21"/>
  <c r="I178" i="21"/>
  <c r="I186" i="21"/>
  <c r="I187" i="21"/>
  <c r="I148" i="21"/>
  <c r="J148" i="21"/>
  <c r="H148" i="21"/>
  <c r="I142" i="21"/>
  <c r="H142" i="21"/>
  <c r="J142" i="21"/>
  <c r="I138" i="21"/>
  <c r="H138" i="21"/>
  <c r="J138" i="21"/>
  <c r="I132" i="21"/>
  <c r="J132" i="21"/>
  <c r="H132" i="21"/>
  <c r="I124" i="21"/>
  <c r="J124" i="21"/>
  <c r="H124" i="21"/>
  <c r="I118" i="21"/>
  <c r="H118" i="21"/>
  <c r="J118" i="21"/>
  <c r="I112" i="21"/>
  <c r="J112" i="21"/>
  <c r="I108" i="21"/>
  <c r="J108" i="21"/>
  <c r="H108" i="21"/>
  <c r="H32" i="14"/>
  <c r="H45" i="31"/>
  <c r="H183" i="21"/>
  <c r="J183" i="21"/>
  <c r="I183" i="21"/>
  <c r="P30" i="31"/>
  <c r="P45" i="31" s="1"/>
  <c r="O45" i="31"/>
  <c r="K45" i="31"/>
  <c r="J186" i="21" s="1"/>
  <c r="J190" i="21"/>
  <c r="H190" i="21"/>
  <c r="J171" i="21"/>
  <c r="I171" i="21" s="1"/>
  <c r="I168" i="21"/>
  <c r="H168" i="21"/>
  <c r="I160" i="21"/>
  <c r="H160" i="21"/>
  <c r="J160" i="21"/>
  <c r="I156" i="21"/>
  <c r="H156" i="21"/>
  <c r="J156" i="21"/>
  <c r="O104" i="3"/>
  <c r="O67" i="3"/>
  <c r="H63" i="3"/>
  <c r="H106" i="3" s="1"/>
  <c r="J27" i="21"/>
  <c r="I27" i="21"/>
  <c r="H27" i="21"/>
  <c r="K9" i="9"/>
  <c r="L9" i="9" s="1"/>
  <c r="J55" i="14"/>
  <c r="J59" i="14" s="1"/>
  <c r="J67" i="14" s="1"/>
  <c r="V64" i="17"/>
  <c r="AA64" i="17" s="1"/>
  <c r="Z64" i="17"/>
  <c r="AB64" i="17" s="1"/>
  <c r="AC64" i="17" s="1"/>
  <c r="V55" i="17"/>
  <c r="AA55" i="17" s="1"/>
  <c r="Z40" i="17"/>
  <c r="AB40" i="17" s="1"/>
  <c r="AC40" i="17" s="1"/>
  <c r="U39" i="17"/>
  <c r="V39" i="17" s="1"/>
  <c r="N46" i="17"/>
  <c r="U33" i="17"/>
  <c r="V33" i="17" s="1"/>
  <c r="K32" i="17"/>
  <c r="U29" i="17"/>
  <c r="V29" i="17" s="1"/>
  <c r="M34" i="17"/>
  <c r="M46" i="17" s="1"/>
  <c r="K28" i="17"/>
  <c r="V24" i="17"/>
  <c r="AA24" i="17" s="1"/>
  <c r="V23" i="17"/>
  <c r="AA23" i="17" s="1"/>
  <c r="V20" i="17"/>
  <c r="AA20" i="17" s="1"/>
  <c r="V19" i="17"/>
  <c r="Z19" i="17" s="1"/>
  <c r="U16" i="17"/>
  <c r="V16" i="17" s="1"/>
  <c r="V13" i="17"/>
  <c r="AA13" i="17" s="1"/>
  <c r="AA12" i="17"/>
  <c r="Z12" i="17"/>
  <c r="V10" i="17"/>
  <c r="U10" i="17"/>
  <c r="H66" i="11"/>
  <c r="L15" i="22"/>
  <c r="P15" i="22"/>
  <c r="R15" i="22" s="1"/>
  <c r="S15" i="22" s="1"/>
  <c r="Q15" i="22"/>
  <c r="H41" i="10"/>
  <c r="L47" i="21"/>
  <c r="K47" i="21"/>
  <c r="K48" i="9"/>
  <c r="L48" i="9" s="1"/>
  <c r="H50" i="9"/>
  <c r="L31" i="21"/>
  <c r="K31" i="21"/>
  <c r="H184" i="21"/>
  <c r="I158" i="21"/>
  <c r="H158" i="21"/>
  <c r="J158" i="21"/>
  <c r="L16" i="9"/>
  <c r="P16" i="9" s="1"/>
  <c r="I105" i="21"/>
  <c r="H105" i="21"/>
  <c r="J29" i="21"/>
  <c r="H29" i="21"/>
  <c r="I29" i="21"/>
  <c r="L11" i="9"/>
  <c r="K11" i="9"/>
  <c r="J93" i="21"/>
  <c r="H93" i="21"/>
  <c r="I93" i="21"/>
  <c r="H98" i="21"/>
  <c r="J98" i="21"/>
  <c r="I98" i="21"/>
  <c r="U11" i="17"/>
  <c r="J64" i="11"/>
  <c r="J70" i="11" s="1"/>
  <c r="K13" i="11"/>
  <c r="L13" i="11"/>
  <c r="J63" i="21"/>
  <c r="H63" i="21"/>
  <c r="I63" i="21"/>
  <c r="K20" i="22"/>
  <c r="L20" i="22"/>
  <c r="L19" i="22"/>
  <c r="P19" i="22" s="1"/>
  <c r="H62" i="21"/>
  <c r="I62" i="21"/>
  <c r="K12" i="22"/>
  <c r="L12" i="22"/>
  <c r="L11" i="22"/>
  <c r="P11" i="22" s="1"/>
  <c r="R10" i="22"/>
  <c r="S10" i="22" s="1"/>
  <c r="L66" i="10"/>
  <c r="P64" i="10"/>
  <c r="R64" i="10" s="1"/>
  <c r="S64" i="10" s="1"/>
  <c r="L48" i="10"/>
  <c r="P48" i="10"/>
  <c r="R48" i="10" s="1"/>
  <c r="S48" i="10" s="1"/>
  <c r="Q48" i="10"/>
  <c r="L34" i="10"/>
  <c r="P34" i="10"/>
  <c r="Q34" i="10"/>
  <c r="L31" i="10"/>
  <c r="P31" i="10" s="1"/>
  <c r="R20" i="10"/>
  <c r="S20" i="10" s="1"/>
  <c r="P11" i="10"/>
  <c r="R11" i="10" s="1"/>
  <c r="S11" i="10" s="1"/>
  <c r="R26" i="9"/>
  <c r="S26" i="9" s="1"/>
  <c r="H28" i="21"/>
  <c r="I28" i="21"/>
  <c r="L10" i="9"/>
  <c r="J28" i="21"/>
  <c r="K10" i="9"/>
  <c r="K172" i="21"/>
  <c r="L172" i="21"/>
  <c r="J105" i="21"/>
  <c r="H185" i="21"/>
  <c r="I185" i="21"/>
  <c r="J185" i="21"/>
  <c r="H189" i="21"/>
  <c r="I189" i="21"/>
  <c r="I166" i="21"/>
  <c r="H165" i="21"/>
  <c r="J167" i="21"/>
  <c r="I165" i="21"/>
  <c r="H166" i="21"/>
  <c r="J165" i="21"/>
  <c r="H167" i="21"/>
  <c r="I157" i="21"/>
  <c r="J157" i="21"/>
  <c r="H157" i="21"/>
  <c r="I149" i="21"/>
  <c r="J149" i="21"/>
  <c r="H149" i="21"/>
  <c r="H147" i="21"/>
  <c r="I147" i="21"/>
  <c r="J147" i="21"/>
  <c r="I145" i="21"/>
  <c r="J145" i="21"/>
  <c r="H145" i="21"/>
  <c r="H143" i="21"/>
  <c r="I143" i="21"/>
  <c r="J143" i="21"/>
  <c r="I141" i="21"/>
  <c r="J141" i="21"/>
  <c r="H141" i="21"/>
  <c r="H139" i="21"/>
  <c r="I139" i="21"/>
  <c r="J139" i="21"/>
  <c r="I137" i="21"/>
  <c r="J137" i="21"/>
  <c r="H137" i="21"/>
  <c r="H135" i="21"/>
  <c r="I135" i="21"/>
  <c r="J135" i="21"/>
  <c r="I133" i="21"/>
  <c r="J133" i="21"/>
  <c r="H133" i="21"/>
  <c r="I131" i="21"/>
  <c r="H131" i="21"/>
  <c r="J131" i="21"/>
  <c r="I129" i="21"/>
  <c r="H129" i="21"/>
  <c r="I127" i="21"/>
  <c r="H127" i="21"/>
  <c r="J127" i="21"/>
  <c r="I125" i="21"/>
  <c r="H125" i="21"/>
  <c r="I123" i="21"/>
  <c r="H123" i="21"/>
  <c r="J123" i="21"/>
  <c r="I121" i="21"/>
  <c r="H121" i="21"/>
  <c r="I119" i="21"/>
  <c r="H119" i="21"/>
  <c r="J119" i="21"/>
  <c r="I117" i="21"/>
  <c r="H117" i="21"/>
  <c r="I115" i="21"/>
  <c r="H115" i="21"/>
  <c r="J115" i="21"/>
  <c r="I113" i="21"/>
  <c r="H113" i="21"/>
  <c r="I111" i="21"/>
  <c r="H111" i="21"/>
  <c r="J111" i="21"/>
  <c r="I109" i="21"/>
  <c r="H109" i="21"/>
  <c r="I107" i="21"/>
  <c r="H107" i="21"/>
  <c r="J107" i="21"/>
  <c r="I104" i="21"/>
  <c r="J104" i="21"/>
  <c r="U56" i="17"/>
  <c r="V56" i="17" s="1"/>
  <c r="V11" i="17"/>
  <c r="J91" i="21"/>
  <c r="I91" i="21"/>
  <c r="H91" i="21"/>
  <c r="J87" i="21"/>
  <c r="I87" i="21"/>
  <c r="H87" i="21"/>
  <c r="L49" i="11"/>
  <c r="Q68" i="10"/>
  <c r="P32" i="10"/>
  <c r="R32" i="10" s="1"/>
  <c r="S32" i="10" s="1"/>
  <c r="L21" i="10"/>
  <c r="P21" i="10"/>
  <c r="Q21" i="10"/>
  <c r="K9" i="10"/>
  <c r="L9" i="10" s="1"/>
  <c r="L8" i="10"/>
  <c r="P8" i="10"/>
  <c r="R8" i="10" s="1"/>
  <c r="S8" i="10" s="1"/>
  <c r="Q8" i="10"/>
  <c r="P32" i="9"/>
  <c r="R32" i="9" s="1"/>
  <c r="S32" i="9" s="1"/>
  <c r="L27" i="9"/>
  <c r="P27" i="9"/>
  <c r="R27" i="9" s="1"/>
  <c r="S27" i="9" s="1"/>
  <c r="Q27" i="9"/>
  <c r="J189" i="21"/>
  <c r="K164" i="21"/>
  <c r="L164" i="21"/>
  <c r="J62" i="21"/>
  <c r="H92" i="21"/>
  <c r="I92" i="21"/>
  <c r="H88" i="21"/>
  <c r="I88" i="21"/>
  <c r="H84" i="21"/>
  <c r="I84" i="21"/>
  <c r="J84" i="21"/>
  <c r="J81" i="21"/>
  <c r="H81" i="21"/>
  <c r="J61" i="21"/>
  <c r="I61" i="21"/>
  <c r="L17" i="22"/>
  <c r="P17" i="22" s="1"/>
  <c r="H60" i="21"/>
  <c r="H64" i="21"/>
  <c r="J65" i="21"/>
  <c r="J60" i="21"/>
  <c r="J64" i="21"/>
  <c r="I65" i="21"/>
  <c r="I60" i="21"/>
  <c r="L9" i="22"/>
  <c r="P9" i="22" s="1"/>
  <c r="L68" i="10"/>
  <c r="P68" i="10" s="1"/>
  <c r="L65" i="10"/>
  <c r="P65" i="10" s="1"/>
  <c r="L46" i="10"/>
  <c r="P46" i="10" s="1"/>
  <c r="L29" i="10"/>
  <c r="P29" i="10" s="1"/>
  <c r="L25" i="10"/>
  <c r="P25" i="10" s="1"/>
  <c r="L19" i="10"/>
  <c r="P19" i="10" s="1"/>
  <c r="L15" i="10"/>
  <c r="P15" i="10" s="1"/>
  <c r="L12" i="10"/>
  <c r="P12" i="10" s="1"/>
  <c r="J33" i="21"/>
  <c r="H33" i="21"/>
  <c r="J92" i="21"/>
  <c r="I64" i="21"/>
  <c r="J45" i="21"/>
  <c r="H45" i="21"/>
  <c r="I45" i="21"/>
  <c r="J49" i="21"/>
  <c r="H49" i="21"/>
  <c r="I49" i="21"/>
  <c r="J47" i="21"/>
  <c r="I47" i="21"/>
  <c r="I81" i="21"/>
  <c r="H61" i="21"/>
  <c r="I33" i="21"/>
  <c r="H90" i="21"/>
  <c r="J90" i="21"/>
  <c r="I90" i="21"/>
  <c r="H86" i="21"/>
  <c r="J86" i="21"/>
  <c r="I86" i="21"/>
  <c r="J83" i="21"/>
  <c r="I83" i="21"/>
  <c r="H83" i="21"/>
  <c r="L70" i="10"/>
  <c r="H44" i="21"/>
  <c r="I44" i="21"/>
  <c r="I41" i="10"/>
  <c r="I43" i="10" s="1"/>
  <c r="I58" i="10" s="1"/>
  <c r="J51" i="21"/>
  <c r="I51" i="21"/>
  <c r="L26" i="10"/>
  <c r="H48" i="21"/>
  <c r="I48" i="21"/>
  <c r="H46" i="21"/>
  <c r="J46" i="21"/>
  <c r="I46" i="21"/>
  <c r="Q6" i="10"/>
  <c r="R6" i="10" s="1"/>
  <c r="S6" i="10" s="1"/>
  <c r="U5" i="10"/>
  <c r="I59" i="21" s="1"/>
  <c r="J31" i="21"/>
  <c r="I31" i="21"/>
  <c r="H65" i="21"/>
  <c r="J48" i="21"/>
  <c r="L35" i="21"/>
  <c r="Z37" i="17" l="1"/>
  <c r="AA37" i="17"/>
  <c r="L179" i="21"/>
  <c r="K179" i="21"/>
  <c r="L48" i="21"/>
  <c r="K48" i="21"/>
  <c r="L83" i="21"/>
  <c r="K83" i="21"/>
  <c r="L90" i="21"/>
  <c r="K90" i="21"/>
  <c r="K45" i="21"/>
  <c r="L45" i="21"/>
  <c r="K33" i="21"/>
  <c r="L33" i="21"/>
  <c r="L64" i="21"/>
  <c r="K64" i="21"/>
  <c r="R21" i="10"/>
  <c r="S21" i="10" s="1"/>
  <c r="L91" i="21"/>
  <c r="K91" i="21"/>
  <c r="K107" i="21"/>
  <c r="L107" i="21"/>
  <c r="K117" i="21"/>
  <c r="L117" i="21"/>
  <c r="K123" i="21"/>
  <c r="L123" i="21"/>
  <c r="K133" i="21"/>
  <c r="L133" i="21"/>
  <c r="K141" i="21"/>
  <c r="L141" i="21"/>
  <c r="K149" i="21"/>
  <c r="L149" i="21"/>
  <c r="L166" i="21"/>
  <c r="K166" i="21"/>
  <c r="Q31" i="10"/>
  <c r="R31" i="10" s="1"/>
  <c r="S31" i="10" s="1"/>
  <c r="R34" i="10"/>
  <c r="S34" i="10" s="1"/>
  <c r="Q19" i="22"/>
  <c r="R19" i="22" s="1"/>
  <c r="S19" i="22" s="1"/>
  <c r="K93" i="21"/>
  <c r="L93" i="21"/>
  <c r="K184" i="21"/>
  <c r="L184" i="21"/>
  <c r="AB12" i="17"/>
  <c r="AC12" i="17" s="1"/>
  <c r="T28" i="17"/>
  <c r="U28" i="17"/>
  <c r="V28" i="17" s="1"/>
  <c r="Z55" i="17"/>
  <c r="AB55" i="17" s="1"/>
  <c r="AC55" i="17" s="1"/>
  <c r="K168" i="21"/>
  <c r="L168" i="21"/>
  <c r="K132" i="21"/>
  <c r="L132" i="21"/>
  <c r="K138" i="21"/>
  <c r="L138" i="21"/>
  <c r="J187" i="21"/>
  <c r="K186" i="21"/>
  <c r="L186" i="21"/>
  <c r="J178" i="21"/>
  <c r="R8" i="22"/>
  <c r="S8" i="22" s="1"/>
  <c r="K75" i="21"/>
  <c r="L75" i="21"/>
  <c r="Z51" i="17"/>
  <c r="AB51" i="17" s="1"/>
  <c r="AC51" i="17" s="1"/>
  <c r="K153" i="21"/>
  <c r="L153" i="21"/>
  <c r="K116" i="21"/>
  <c r="L116" i="21"/>
  <c r="K122" i="21"/>
  <c r="L122" i="21"/>
  <c r="L162" i="21"/>
  <c r="K162" i="21"/>
  <c r="Q46" i="10"/>
  <c r="R46" i="10" s="1"/>
  <c r="S46" i="10" s="1"/>
  <c r="Z13" i="17"/>
  <c r="AB13" i="17" s="1"/>
  <c r="AC13" i="17" s="1"/>
  <c r="U25" i="17"/>
  <c r="V25" i="17"/>
  <c r="AA22" i="17"/>
  <c r="Z22" i="17"/>
  <c r="S34" i="17"/>
  <c r="S46" i="17" s="1"/>
  <c r="S58" i="17" s="1"/>
  <c r="S67" i="17" s="1"/>
  <c r="K106" i="21"/>
  <c r="L106" i="21"/>
  <c r="K126" i="21"/>
  <c r="L126" i="21"/>
  <c r="Z23" i="17"/>
  <c r="AB23" i="17" s="1"/>
  <c r="AC23" i="17" s="1"/>
  <c r="L96" i="21"/>
  <c r="K96" i="21"/>
  <c r="L79" i="21"/>
  <c r="K79" i="21"/>
  <c r="K161" i="21"/>
  <c r="L161" i="21"/>
  <c r="I175" i="21"/>
  <c r="J175" i="21"/>
  <c r="K18" i="9"/>
  <c r="L18" i="9" s="1"/>
  <c r="H38" i="21" s="1"/>
  <c r="J53" i="21"/>
  <c r="I53" i="21" s="1"/>
  <c r="H53" i="21"/>
  <c r="L46" i="21"/>
  <c r="K46" i="21"/>
  <c r="L86" i="21"/>
  <c r="K86" i="21"/>
  <c r="H58" i="21"/>
  <c r="K49" i="21"/>
  <c r="L49" i="21"/>
  <c r="R68" i="10"/>
  <c r="S68" i="10" s="1"/>
  <c r="L60" i="21"/>
  <c r="K60" i="21"/>
  <c r="K81" i="21"/>
  <c r="L81" i="21"/>
  <c r="L84" i="21"/>
  <c r="K84" i="21"/>
  <c r="L92" i="21"/>
  <c r="K92" i="21"/>
  <c r="L87" i="21"/>
  <c r="K87" i="21"/>
  <c r="K111" i="21"/>
  <c r="L111" i="21"/>
  <c r="K121" i="21"/>
  <c r="L121" i="21"/>
  <c r="K127" i="21"/>
  <c r="L127" i="21"/>
  <c r="K135" i="21"/>
  <c r="L135" i="21"/>
  <c r="K143" i="21"/>
  <c r="L143" i="21"/>
  <c r="L185" i="21"/>
  <c r="K185" i="21"/>
  <c r="P10" i="9"/>
  <c r="Q10" i="9"/>
  <c r="L28" i="21"/>
  <c r="K28" i="21"/>
  <c r="Q12" i="10"/>
  <c r="Q11" i="22"/>
  <c r="R11" i="22" s="1"/>
  <c r="S11" i="22" s="1"/>
  <c r="K29" i="21"/>
  <c r="L29" i="21"/>
  <c r="H43" i="10"/>
  <c r="K41" i="10"/>
  <c r="L41" i="10" s="1"/>
  <c r="K66" i="11"/>
  <c r="L66" i="11"/>
  <c r="K108" i="21"/>
  <c r="L108" i="21"/>
  <c r="K124" i="21"/>
  <c r="L124" i="21"/>
  <c r="K148" i="21"/>
  <c r="L148" i="21"/>
  <c r="K178" i="21"/>
  <c r="L178" i="21"/>
  <c r="K128" i="21"/>
  <c r="L128" i="21"/>
  <c r="L50" i="21"/>
  <c r="K50" i="21"/>
  <c r="Q17" i="22"/>
  <c r="R17" i="22" s="1"/>
  <c r="S17" i="22" s="1"/>
  <c r="J97" i="21"/>
  <c r="H97" i="21"/>
  <c r="I97" i="21"/>
  <c r="U44" i="17"/>
  <c r="V44" i="17" s="1"/>
  <c r="P19" i="9"/>
  <c r="Q19" i="9"/>
  <c r="K134" i="21"/>
  <c r="L134" i="21"/>
  <c r="L188" i="21"/>
  <c r="K188" i="21"/>
  <c r="Q7" i="9"/>
  <c r="P7" i="9"/>
  <c r="R7" i="9" s="1"/>
  <c r="S7" i="9" s="1"/>
  <c r="Q16" i="9"/>
  <c r="R16" i="9" s="1"/>
  <c r="S16" i="9" s="1"/>
  <c r="R7" i="22"/>
  <c r="S7" i="22" s="1"/>
  <c r="Z24" i="17"/>
  <c r="AB24" i="17" s="1"/>
  <c r="AC24" i="17" s="1"/>
  <c r="V43" i="17"/>
  <c r="Z43" i="17" s="1"/>
  <c r="H37" i="14"/>
  <c r="H8" i="9" s="1"/>
  <c r="L154" i="21"/>
  <c r="K154" i="21"/>
  <c r="R62" i="10"/>
  <c r="S62" i="10" s="1"/>
  <c r="AA19" i="17"/>
  <c r="AB19" i="17" s="1"/>
  <c r="AC19" i="17" s="1"/>
  <c r="L95" i="21"/>
  <c r="K95" i="21"/>
  <c r="I179" i="21"/>
  <c r="L65" i="21"/>
  <c r="K65" i="21"/>
  <c r="L44" i="21"/>
  <c r="K44" i="21"/>
  <c r="L61" i="21"/>
  <c r="K61" i="21"/>
  <c r="R12" i="10"/>
  <c r="S12" i="10" s="1"/>
  <c r="K109" i="21"/>
  <c r="L109" i="21"/>
  <c r="K115" i="21"/>
  <c r="L115" i="21"/>
  <c r="K125" i="21"/>
  <c r="L125" i="21"/>
  <c r="K131" i="21"/>
  <c r="L131" i="21"/>
  <c r="K137" i="21"/>
  <c r="L137" i="21"/>
  <c r="K145" i="21"/>
  <c r="L145" i="21"/>
  <c r="K167" i="21"/>
  <c r="L167" i="21"/>
  <c r="L189" i="21"/>
  <c r="K189" i="21"/>
  <c r="Q19" i="10"/>
  <c r="R19" i="10" s="1"/>
  <c r="S19" i="10" s="1"/>
  <c r="Q65" i="10"/>
  <c r="R65" i="10" s="1"/>
  <c r="S65" i="10" s="1"/>
  <c r="K63" i="21"/>
  <c r="L63" i="21"/>
  <c r="L98" i="21"/>
  <c r="K98" i="21"/>
  <c r="Q11" i="9"/>
  <c r="P11" i="9"/>
  <c r="R11" i="9" s="1"/>
  <c r="S11" i="9" s="1"/>
  <c r="L158" i="21"/>
  <c r="K158" i="21"/>
  <c r="Q15" i="10"/>
  <c r="Z10" i="17"/>
  <c r="AA10" i="17"/>
  <c r="Z39" i="17"/>
  <c r="AB39" i="17" s="1"/>
  <c r="AC39" i="17" s="1"/>
  <c r="AA39" i="17"/>
  <c r="Q9" i="9"/>
  <c r="P9" i="9"/>
  <c r="R9" i="9" s="1"/>
  <c r="S9" i="9" s="1"/>
  <c r="K160" i="21"/>
  <c r="L160" i="21"/>
  <c r="L183" i="21"/>
  <c r="K183" i="21"/>
  <c r="L187" i="21"/>
  <c r="K187" i="21"/>
  <c r="K144" i="21"/>
  <c r="L144" i="21"/>
  <c r="Q29" i="10"/>
  <c r="R29" i="10" s="1"/>
  <c r="S29" i="10" s="1"/>
  <c r="AB60" i="17"/>
  <c r="AC60" i="17" s="1"/>
  <c r="K110" i="21"/>
  <c r="L110" i="21"/>
  <c r="Z9" i="17"/>
  <c r="AA9" i="17"/>
  <c r="AA15" i="17"/>
  <c r="Z15" i="17"/>
  <c r="AB15" i="17" s="1"/>
  <c r="AC15" i="17" s="1"/>
  <c r="Z20" i="17"/>
  <c r="AB20" i="17" s="1"/>
  <c r="AC20" i="17" s="1"/>
  <c r="J99" i="21"/>
  <c r="U27" i="17"/>
  <c r="V27" i="17"/>
  <c r="T27" i="17"/>
  <c r="T8" i="17" s="1"/>
  <c r="K34" i="17"/>
  <c r="K150" i="21"/>
  <c r="L150" i="21"/>
  <c r="K159" i="21"/>
  <c r="L159" i="21"/>
  <c r="H80" i="21"/>
  <c r="I80" i="21"/>
  <c r="J80" i="21"/>
  <c r="L94" i="21"/>
  <c r="K94" i="21"/>
  <c r="K85" i="21"/>
  <c r="L85" i="21"/>
  <c r="K89" i="21"/>
  <c r="L89" i="21"/>
  <c r="H175" i="21"/>
  <c r="R15" i="10"/>
  <c r="S15" i="10" s="1"/>
  <c r="L88" i="21"/>
  <c r="K88" i="21"/>
  <c r="K113" i="21"/>
  <c r="L113" i="21"/>
  <c r="K119" i="21"/>
  <c r="L119" i="21"/>
  <c r="K129" i="21"/>
  <c r="L129" i="21"/>
  <c r="K139" i="21"/>
  <c r="L139" i="21"/>
  <c r="K147" i="21"/>
  <c r="L147" i="21"/>
  <c r="K157" i="21"/>
  <c r="L157" i="21"/>
  <c r="K165" i="21"/>
  <c r="L165" i="21"/>
  <c r="L62" i="21"/>
  <c r="K62" i="21"/>
  <c r="Z11" i="17"/>
  <c r="AA11" i="17"/>
  <c r="K105" i="21"/>
  <c r="L105" i="21"/>
  <c r="K50" i="9"/>
  <c r="L50" i="9"/>
  <c r="T32" i="17"/>
  <c r="U32" i="17"/>
  <c r="V32" i="17" s="1"/>
  <c r="L27" i="21"/>
  <c r="K27" i="21"/>
  <c r="K156" i="21"/>
  <c r="L156" i="21"/>
  <c r="K190" i="21"/>
  <c r="L190" i="21"/>
  <c r="I174" i="21"/>
  <c r="H174" i="21"/>
  <c r="J174" i="21"/>
  <c r="K118" i="21"/>
  <c r="L118" i="21"/>
  <c r="K142" i="21"/>
  <c r="L142" i="21"/>
  <c r="R55" i="10"/>
  <c r="S55" i="10" s="1"/>
  <c r="Z14" i="17"/>
  <c r="AA14" i="17"/>
  <c r="Z41" i="17"/>
  <c r="AA41" i="17"/>
  <c r="J63" i="3"/>
  <c r="J106" i="3" s="1"/>
  <c r="O61" i="3"/>
  <c r="O63" i="3" s="1"/>
  <c r="K140" i="21"/>
  <c r="L140" i="21"/>
  <c r="K146" i="21"/>
  <c r="L146" i="21"/>
  <c r="K25" i="21"/>
  <c r="L25" i="21"/>
  <c r="K155" i="21"/>
  <c r="L155" i="21"/>
  <c r="H66" i="21"/>
  <c r="AA18" i="17"/>
  <c r="Z18" i="17"/>
  <c r="V21" i="17"/>
  <c r="AA21" i="17" s="1"/>
  <c r="O46" i="17"/>
  <c r="O58" i="17" s="1"/>
  <c r="O67" i="17" s="1"/>
  <c r="K114" i="21"/>
  <c r="L114" i="21"/>
  <c r="K130" i="21"/>
  <c r="L130" i="21"/>
  <c r="Q25" i="10"/>
  <c r="R25" i="10" s="1"/>
  <c r="S25" i="10" s="1"/>
  <c r="Q9" i="22"/>
  <c r="R9" i="22" s="1"/>
  <c r="S9" i="22" s="1"/>
  <c r="AB37" i="17"/>
  <c r="AC37" i="17" s="1"/>
  <c r="L82" i="21"/>
  <c r="K82" i="21"/>
  <c r="J179" i="21"/>
  <c r="K9" i="11"/>
  <c r="L9" i="11" s="1"/>
  <c r="L38" i="21" l="1"/>
  <c r="K38" i="21"/>
  <c r="S1" i="9"/>
  <c r="U34" i="17"/>
  <c r="V34" i="17" s="1"/>
  <c r="K46" i="17"/>
  <c r="H100" i="21"/>
  <c r="I100" i="21"/>
  <c r="J100" i="21"/>
  <c r="AB18" i="17"/>
  <c r="AC18" i="17" s="1"/>
  <c r="H15" i="9"/>
  <c r="O106" i="3"/>
  <c r="AB14" i="17"/>
  <c r="AC14" i="17" s="1"/>
  <c r="L80" i="21"/>
  <c r="K80" i="21"/>
  <c r="Z21" i="17"/>
  <c r="AB21" i="17" s="1"/>
  <c r="AC21" i="17" s="1"/>
  <c r="H26" i="21"/>
  <c r="I26" i="21"/>
  <c r="J26" i="21"/>
  <c r="K8" i="9"/>
  <c r="L8" i="9"/>
  <c r="L58" i="21"/>
  <c r="S1" i="10"/>
  <c r="K58" i="21"/>
  <c r="AB22" i="17"/>
  <c r="AC22" i="17" s="1"/>
  <c r="I99" i="21"/>
  <c r="H99" i="21"/>
  <c r="AB9" i="17"/>
  <c r="AC9" i="17" s="1"/>
  <c r="AA43" i="17"/>
  <c r="AB43" i="17" s="1"/>
  <c r="AC43" i="17" s="1"/>
  <c r="H58" i="10"/>
  <c r="K43" i="10"/>
  <c r="L43" i="10" s="1"/>
  <c r="R10" i="9"/>
  <c r="S10" i="9" s="1"/>
  <c r="P18" i="9"/>
  <c r="R18" i="9" s="1"/>
  <c r="S18" i="9" s="1"/>
  <c r="Q18" i="9"/>
  <c r="L66" i="21"/>
  <c r="K66" i="21"/>
  <c r="S1" i="22"/>
  <c r="AB41" i="17"/>
  <c r="AC41" i="17" s="1"/>
  <c r="L174" i="21"/>
  <c r="K174" i="21"/>
  <c r="AB11" i="17"/>
  <c r="AC11" i="17" s="1"/>
  <c r="K175" i="21"/>
  <c r="L175" i="21"/>
  <c r="H101" i="21"/>
  <c r="AB10" i="17"/>
  <c r="AC10" i="17" s="1"/>
  <c r="R19" i="9"/>
  <c r="S19" i="9" s="1"/>
  <c r="K97" i="21"/>
  <c r="L97" i="21"/>
  <c r="K53" i="21"/>
  <c r="L53" i="21"/>
  <c r="H52" i="21" l="1"/>
  <c r="J52" i="21"/>
  <c r="I52" i="21" s="1"/>
  <c r="K58" i="10"/>
  <c r="L58" i="10" s="1"/>
  <c r="G10" i="27"/>
  <c r="L99" i="21"/>
  <c r="K99" i="21"/>
  <c r="S5" i="10"/>
  <c r="I58" i="21" s="1"/>
  <c r="K15" i="9"/>
  <c r="L15" i="9" s="1"/>
  <c r="H20" i="9"/>
  <c r="G6" i="27"/>
  <c r="L100" i="21"/>
  <c r="K100" i="21"/>
  <c r="S5" i="9"/>
  <c r="I38" i="21" s="1"/>
  <c r="I66" i="21"/>
  <c r="S5" i="22"/>
  <c r="U46" i="17"/>
  <c r="V46" i="17" s="1"/>
  <c r="K58" i="17"/>
  <c r="K67" i="17" s="1"/>
  <c r="H5" i="14" s="1"/>
  <c r="K101" i="21"/>
  <c r="L101" i="21"/>
  <c r="AC1" i="17"/>
  <c r="L26" i="21"/>
  <c r="K26" i="21"/>
  <c r="I152" i="21"/>
  <c r="H152" i="21"/>
  <c r="J152" i="21"/>
  <c r="H6" i="9" l="1"/>
  <c r="H59" i="14"/>
  <c r="H67" i="14" s="1"/>
  <c r="K152" i="21"/>
  <c r="L152" i="21"/>
  <c r="AC5" i="17"/>
  <c r="I101" i="21" s="1"/>
  <c r="H32" i="21"/>
  <c r="I32" i="21"/>
  <c r="J32" i="21"/>
  <c r="K20" i="9"/>
  <c r="L20" i="9"/>
  <c r="H7" i="27"/>
  <c r="I7" i="27" s="1"/>
  <c r="H13" i="27"/>
  <c r="I13" i="27" s="1"/>
  <c r="H10" i="27"/>
  <c r="I10" i="27" s="1"/>
  <c r="L52" i="21"/>
  <c r="K52" i="21"/>
  <c r="L32" i="21" l="1"/>
  <c r="K32" i="21"/>
  <c r="H24" i="21"/>
  <c r="I24" i="21"/>
  <c r="J24" i="21"/>
  <c r="K6" i="9"/>
  <c r="L6" i="9" s="1"/>
  <c r="H12" i="9"/>
  <c r="H30" i="21" l="1"/>
  <c r="J30" i="21"/>
  <c r="K12" i="9"/>
  <c r="L12" i="9" s="1"/>
  <c r="H22" i="9"/>
  <c r="I30" i="21"/>
  <c r="H5" i="27"/>
  <c r="H12" i="27"/>
  <c r="H9" i="27"/>
  <c r="I9" i="27" s="1"/>
  <c r="H6" i="27"/>
  <c r="I6" i="27" s="1"/>
  <c r="H8" i="27"/>
  <c r="I8" i="27" s="1"/>
  <c r="L24" i="21"/>
  <c r="K24" i="21"/>
  <c r="K22" i="9" l="1"/>
  <c r="L22" i="9" s="1"/>
  <c r="H30" i="9"/>
  <c r="G5" i="27"/>
  <c r="I5" i="27" s="1"/>
  <c r="L30" i="21"/>
  <c r="K30" i="21"/>
  <c r="K30" i="9" l="1"/>
  <c r="L30" i="9"/>
  <c r="H34" i="9"/>
  <c r="H6" i="11"/>
  <c r="K34" i="9" l="1"/>
  <c r="L34" i="9"/>
  <c r="H41" i="9"/>
  <c r="H54" i="9"/>
  <c r="H31" i="11"/>
  <c r="K6" i="11"/>
  <c r="L6" i="11" s="1"/>
  <c r="K54" i="9" l="1"/>
  <c r="L54" i="9"/>
  <c r="H34" i="21"/>
  <c r="J37" i="21"/>
  <c r="J34" i="21"/>
  <c r="I37" i="21"/>
  <c r="H37" i="21"/>
  <c r="K41" i="9"/>
  <c r="L41" i="9" s="1"/>
  <c r="I34" i="21"/>
  <c r="H35" i="11"/>
  <c r="K31" i="11"/>
  <c r="L31" i="11" s="1"/>
  <c r="K35" i="11" l="1"/>
  <c r="L35" i="11" s="1"/>
  <c r="H64" i="11"/>
  <c r="G12" i="27"/>
  <c r="I12" i="27" s="1"/>
  <c r="L37" i="21"/>
  <c r="K37" i="21"/>
  <c r="L34" i="21"/>
  <c r="K34" i="21"/>
  <c r="K64" i="11" l="1"/>
  <c r="L64" i="11" s="1"/>
  <c r="H70" i="11"/>
  <c r="H74" i="21" l="1"/>
  <c r="I74" i="21"/>
  <c r="J74" i="21"/>
  <c r="K70" i="11"/>
  <c r="L70" i="11" s="1"/>
  <c r="L74" i="21" l="1"/>
  <c r="D3" i="21" s="1"/>
  <c r="K74" i="21"/>
  <c r="D2" i="21" s="1"/>
</calcChain>
</file>

<file path=xl/sharedStrings.xml><?xml version="1.0" encoding="utf-8"?>
<sst xmlns="http://schemas.openxmlformats.org/spreadsheetml/2006/main" count="3048" uniqueCount="1541">
  <si>
    <t>List for Table 10 &amp; 12</t>
  </si>
  <si>
    <t>List for Table 1</t>
  </si>
  <si>
    <t>Year ended 31 July 2020</t>
  </si>
  <si>
    <t>Year ended 31 July 2019</t>
  </si>
  <si>
    <t>Yes</t>
  </si>
  <si>
    <t>No</t>
  </si>
  <si>
    <t>as at 31 July 2020</t>
  </si>
  <si>
    <t>List for variance explanation</t>
  </si>
  <si>
    <t>Variance (2019/20 v. 2018/19 restated)</t>
  </si>
  <si>
    <t>New/ended business activity</t>
  </si>
  <si>
    <t>Expected increase/decrease in growth</t>
  </si>
  <si>
    <t>One off event</t>
  </si>
  <si>
    <t>Accounting treatment</t>
  </si>
  <si>
    <t>Other</t>
  </si>
  <si>
    <t xml:space="preserve"> </t>
  </si>
  <si>
    <t>Country</t>
  </si>
  <si>
    <t>N</t>
  </si>
  <si>
    <t>S</t>
  </si>
  <si>
    <t>W</t>
  </si>
  <si>
    <t>E</t>
  </si>
  <si>
    <t>Prepopulated Tables</t>
  </si>
  <si>
    <t>Based on SORP 2019</t>
  </si>
  <si>
    <t>Table 1</t>
  </si>
  <si>
    <t>Table 2</t>
  </si>
  <si>
    <t>Table 2S</t>
  </si>
  <si>
    <t>Table 3</t>
  </si>
  <si>
    <t>Table 5</t>
  </si>
  <si>
    <t>Table 6</t>
  </si>
  <si>
    <t>Table 9</t>
  </si>
  <si>
    <t>Table 11</t>
  </si>
  <si>
    <t>Table 12</t>
  </si>
  <si>
    <t>Links between tables</t>
  </si>
  <si>
    <t>Feeds into</t>
  </si>
  <si>
    <t>Table 6, 7, 11</t>
  </si>
  <si>
    <t>Table 4</t>
  </si>
  <si>
    <t>Table 1, 7</t>
  </si>
  <si>
    <t>Table 4, 5, 6 (Countries)</t>
  </si>
  <si>
    <t>Table 6 (Countries)</t>
  </si>
  <si>
    <t>Table 7</t>
  </si>
  <si>
    <t>2S</t>
  </si>
  <si>
    <t>6 (Countries)</t>
  </si>
  <si>
    <t>Table 10</t>
  </si>
  <si>
    <t>There are hidden formulas in columns to the right of the template that converts the date format and is used in the keys template</t>
  </si>
  <si>
    <t>Year References</t>
  </si>
  <si>
    <t>Column headings with the following names have a formula link to the Hide_me hidden sheet so they are updated in one go:</t>
  </si>
  <si>
    <r>
      <rPr>
        <sz val="11"/>
        <color theme="1"/>
        <rFont val="Calibri"/>
        <family val="2"/>
      </rPr>
      <t xml:space="preserve">- Year ended 31 July </t>
    </r>
    <r>
      <rPr>
        <b/>
        <sz val="11"/>
        <color theme="1"/>
        <rFont val="Calibri"/>
        <family val="2"/>
      </rPr>
      <t>20xx</t>
    </r>
  </si>
  <si>
    <r>
      <rPr>
        <sz val="11"/>
        <color theme="1"/>
        <rFont val="Calibri"/>
        <family val="2"/>
      </rPr>
      <t xml:space="preserve"> - as at 31 July </t>
    </r>
    <r>
      <rPr>
        <b/>
        <sz val="11"/>
        <color theme="1"/>
        <rFont val="Calibri"/>
        <family val="2"/>
      </rPr>
      <t>20xx</t>
    </r>
  </si>
  <si>
    <r>
      <rPr>
        <sz val="11"/>
        <color theme="1"/>
        <rFont val="Calibri"/>
        <family val="2"/>
      </rPr>
      <t xml:space="preserve"> - Variance (</t>
    </r>
    <r>
      <rPr>
        <b/>
        <sz val="11"/>
        <color theme="1"/>
        <rFont val="Calibri"/>
        <family val="2"/>
      </rPr>
      <t>2018</t>
    </r>
    <r>
      <rPr>
        <sz val="11"/>
        <color theme="1"/>
        <rFont val="Calibri"/>
        <family val="2"/>
      </rPr>
      <t>/</t>
    </r>
    <r>
      <rPr>
        <b/>
        <sz val="11"/>
        <color theme="1"/>
        <rFont val="Calibri"/>
        <family val="2"/>
      </rPr>
      <t>19</t>
    </r>
    <r>
      <rPr>
        <sz val="11"/>
        <color theme="1"/>
        <rFont val="Calibri"/>
        <family val="2"/>
      </rPr>
      <t xml:space="preserve"> v. </t>
    </r>
    <r>
      <rPr>
        <b/>
        <sz val="11"/>
        <color theme="1"/>
        <rFont val="Calibri"/>
        <family val="2"/>
      </rPr>
      <t>2017</t>
    </r>
    <r>
      <rPr>
        <sz val="11"/>
        <color theme="1"/>
        <rFont val="Calibri"/>
        <family val="2"/>
      </rPr>
      <t>/</t>
    </r>
    <r>
      <rPr>
        <b/>
        <sz val="11"/>
        <color theme="1"/>
        <rFont val="Calibri"/>
        <family val="2"/>
      </rPr>
      <t>18</t>
    </r>
    <r>
      <rPr>
        <sz val="11"/>
        <color theme="1"/>
        <rFont val="Calibri"/>
        <family val="2"/>
      </rPr>
      <t xml:space="preserve"> restated)</t>
    </r>
  </si>
  <si>
    <t>Table Formatting</t>
  </si>
  <si>
    <t>Main Heads = Column B</t>
  </si>
  <si>
    <t>Sub Heads = Column C</t>
  </si>
  <si>
    <t>OfS Template Links:</t>
  </si>
  <si>
    <t>HESA Template (C18031)</t>
  </si>
  <si>
    <t>OfS Template</t>
  </si>
  <si>
    <t>HESA Template (C19031)</t>
  </si>
  <si>
    <r>
      <rPr>
        <b/>
        <sz val="10"/>
        <color rgb="FF000000"/>
        <rFont val="Arial"/>
        <family val="2"/>
      </rPr>
      <t>Table 1:</t>
    </r>
    <r>
      <rPr>
        <sz val="10"/>
        <color rgb="FF000000"/>
        <rFont val="Arial"/>
        <family val="2"/>
      </rPr>
      <t xml:space="preserve"> Consolidated statement of comprehensive income and expenditure</t>
    </r>
  </si>
  <si>
    <r>
      <rPr>
        <b/>
        <sz val="10"/>
        <color rgb="FF000000"/>
        <rFont val="Arial"/>
        <family val="2"/>
      </rPr>
      <t>Table 1:</t>
    </r>
    <r>
      <rPr>
        <sz val="10"/>
        <color rgb="FF000000"/>
        <rFont val="Arial"/>
        <family val="2"/>
      </rPr>
      <t xml:space="preserve"> Consolidated statement of comprehensive income and expenditure</t>
    </r>
  </si>
  <si>
    <r>
      <rPr>
        <b/>
        <sz val="10"/>
        <color rgb="FF000000"/>
        <rFont val="Arial"/>
        <family val="2"/>
      </rPr>
      <t>Table 1:</t>
    </r>
    <r>
      <rPr>
        <sz val="10"/>
        <color rgb="FF000000"/>
        <rFont val="Arial"/>
        <family val="2"/>
      </rPr>
      <t xml:space="preserve"> Consolidated statement of comprehensive income and expenditure</t>
    </r>
  </si>
  <si>
    <t>No Table 2</t>
  </si>
  <si>
    <r>
      <rPr>
        <b/>
        <sz val="10"/>
        <color rgb="FF000000"/>
        <rFont val="Arial"/>
        <family val="2"/>
      </rPr>
      <t>Table 3:</t>
    </r>
    <r>
      <rPr>
        <sz val="10"/>
        <color rgb="FF000000"/>
        <rFont val="Arial"/>
        <family val="2"/>
      </rPr>
      <t xml:space="preserve"> Consolidated balance sheet</t>
    </r>
  </si>
  <si>
    <r>
      <rPr>
        <b/>
        <sz val="10"/>
        <color rgb="FF000000"/>
        <rFont val="Arial"/>
        <family val="2"/>
      </rPr>
      <t>Table 2:</t>
    </r>
    <r>
      <rPr>
        <sz val="10"/>
        <color rgb="FF000000"/>
        <rFont val="Arial"/>
        <family val="2"/>
      </rPr>
      <t xml:space="preserve"> Consolidated balance sheet</t>
    </r>
  </si>
  <si>
    <r>
      <rPr>
        <b/>
        <sz val="10"/>
        <color rgb="FF000000"/>
        <rFont val="Arial"/>
        <family val="2"/>
      </rPr>
      <t>Table 2:</t>
    </r>
    <r>
      <rPr>
        <sz val="10"/>
        <color rgb="FF000000"/>
        <rFont val="Arial"/>
        <family val="2"/>
      </rPr>
      <t xml:space="preserve"> Consolidated balance sheet</t>
    </r>
  </si>
  <si>
    <r>
      <rPr>
        <b/>
        <sz val="10"/>
        <color rgb="FF000000"/>
        <rFont val="Arial"/>
        <family val="2"/>
      </rPr>
      <t>Table 3 Scotland</t>
    </r>
    <r>
      <rPr>
        <sz val="10"/>
        <color rgb="FF000000"/>
        <rFont val="Arial"/>
        <family val="2"/>
      </rPr>
      <t>: Consolidated balance sheet - Scotland</t>
    </r>
  </si>
  <si>
    <t>N/A</t>
  </si>
  <si>
    <r>
      <rPr>
        <b/>
        <sz val="10"/>
        <color rgb="FF000000"/>
        <rFont val="Arial"/>
        <family val="2"/>
      </rPr>
      <t>Table 2 Scotland</t>
    </r>
    <r>
      <rPr>
        <sz val="10"/>
        <color rgb="FF000000"/>
        <rFont val="Arial"/>
        <family val="2"/>
      </rPr>
      <t>: Consolidated balance sheet - Scotland</t>
    </r>
  </si>
  <si>
    <r>
      <rPr>
        <b/>
        <sz val="10"/>
        <color rgb="FF000000"/>
        <rFont val="Arial"/>
        <family val="2"/>
      </rPr>
      <t>Table 4:</t>
    </r>
    <r>
      <rPr>
        <sz val="10"/>
        <color rgb="FF000000"/>
        <rFont val="Arial"/>
        <family val="2"/>
      </rPr>
      <t xml:space="preserve"> Consolidated statement of cash flows</t>
    </r>
  </si>
  <si>
    <r>
      <rPr>
        <b/>
        <sz val="10"/>
        <color rgb="FF000000"/>
        <rFont val="Arial"/>
        <family val="2"/>
      </rPr>
      <t>Table 3:</t>
    </r>
    <r>
      <rPr>
        <sz val="10"/>
        <color rgb="FF000000"/>
        <rFont val="Arial"/>
        <family val="2"/>
      </rPr>
      <t xml:space="preserve"> Consolidated statement of cash flows</t>
    </r>
  </si>
  <si>
    <r>
      <rPr>
        <b/>
        <sz val="10"/>
        <color rgb="FF000000"/>
        <rFont val="Arial"/>
        <family val="2"/>
      </rPr>
      <t>Table 3:</t>
    </r>
    <r>
      <rPr>
        <sz val="10"/>
        <color rgb="FF000000"/>
        <rFont val="Arial"/>
        <family val="2"/>
      </rPr>
      <t xml:space="preserve"> Consolidated statement of cash flows</t>
    </r>
  </si>
  <si>
    <r>
      <rPr>
        <b/>
        <sz val="10"/>
        <color rgb="FF000000"/>
        <rFont val="Arial"/>
        <family val="2"/>
      </rPr>
      <t>Table 5:</t>
    </r>
    <r>
      <rPr>
        <sz val="10"/>
        <color rgb="FF000000"/>
        <rFont val="Arial"/>
        <family val="2"/>
      </rPr>
      <t xml:space="preserve"> Research grants and contracts - breakdown by source of income and HESA cost centre</t>
    </r>
  </si>
  <si>
    <r>
      <rPr>
        <b/>
        <sz val="10"/>
        <color rgb="FF000000"/>
        <rFont val="Arial"/>
        <family val="2"/>
      </rPr>
      <t>Table 5:</t>
    </r>
    <r>
      <rPr>
        <sz val="10"/>
        <color rgb="FF000000"/>
        <rFont val="Arial"/>
        <family val="2"/>
      </rPr>
      <t xml:space="preserve"> Analysis of income - Research grants and contracts - breakdown by source of income and HESA cost centre</t>
    </r>
  </si>
  <si>
    <r>
      <rPr>
        <b/>
        <sz val="10"/>
        <color rgb="FF000000"/>
        <rFont val="Arial"/>
        <family val="2"/>
      </rPr>
      <t>Table 4:</t>
    </r>
    <r>
      <rPr>
        <sz val="10"/>
        <color rgb="FF000000"/>
        <rFont val="Arial"/>
        <family val="2"/>
      </rPr>
      <t xml:space="preserve"> Research grants and contracts - breakdown by source of income and HESA cost centre</t>
    </r>
  </si>
  <si>
    <r>
      <rPr>
        <b/>
        <sz val="10"/>
        <color rgb="FF000000"/>
        <rFont val="Arial"/>
        <family val="2"/>
      </rPr>
      <t>Table 6:</t>
    </r>
    <r>
      <rPr>
        <sz val="10"/>
        <color rgb="FF000000"/>
        <rFont val="Arial"/>
        <family val="2"/>
      </rPr>
      <t xml:space="preserve"> Tuition fees and education contracts analysed by domicile, mode, level and source</t>
    </r>
  </si>
  <si>
    <r>
      <rPr>
        <b/>
        <sz val="10"/>
        <color rgb="FF000000"/>
        <rFont val="Arial"/>
        <family val="2"/>
      </rPr>
      <t>Table 6:</t>
    </r>
    <r>
      <rPr>
        <sz val="10"/>
        <color rgb="FF000000"/>
        <rFont val="Arial"/>
        <family val="2"/>
      </rPr>
      <t xml:space="preserve"> Analysis of income - Course fees and education contracts analysed by domicile, mode, level and source</t>
    </r>
  </si>
  <si>
    <r>
      <rPr>
        <b/>
        <sz val="10"/>
        <color rgb="FF000000"/>
        <rFont val="Arial"/>
        <family val="2"/>
      </rPr>
      <t>Table 5:</t>
    </r>
    <r>
      <rPr>
        <sz val="10"/>
        <color rgb="FF000000"/>
        <rFont val="Arial"/>
        <family val="2"/>
      </rPr>
      <t xml:space="preserve"> Tuition fees and education contracts analysed by domicile, mode, level and source</t>
    </r>
  </si>
  <si>
    <r>
      <rPr>
        <b/>
        <sz val="10"/>
        <color rgb="FF000000"/>
        <rFont val="Arial"/>
        <family val="2"/>
      </rPr>
      <t>Table 7:</t>
    </r>
    <r>
      <rPr>
        <sz val="10"/>
        <color rgb="FF000000"/>
        <rFont val="Arial"/>
        <family val="2"/>
      </rPr>
      <t xml:space="preserve"> Income analysed by source</t>
    </r>
  </si>
  <si>
    <r>
      <rPr>
        <b/>
        <sz val="10"/>
        <color rgb="FF000000"/>
        <rFont val="Arial"/>
        <family val="2"/>
      </rPr>
      <t>Table 4:</t>
    </r>
    <r>
      <rPr>
        <sz val="10"/>
        <color rgb="FF000000"/>
        <rFont val="Arial"/>
        <family val="2"/>
      </rPr>
      <t xml:space="preserve"> Analysis of income</t>
    </r>
  </si>
  <si>
    <r>
      <rPr>
        <b/>
        <sz val="10"/>
        <color rgb="FF000000"/>
        <rFont val="Arial"/>
        <family val="2"/>
      </rPr>
      <t>Table 6:</t>
    </r>
    <r>
      <rPr>
        <sz val="10"/>
        <color rgb="FF000000"/>
        <rFont val="Arial"/>
        <family val="2"/>
      </rPr>
      <t xml:space="preserve"> Income analysed by source</t>
    </r>
  </si>
  <si>
    <r>
      <rPr>
        <b/>
        <sz val="10"/>
        <color rgb="FF000000"/>
        <rFont val="Arial"/>
        <family val="2"/>
      </rPr>
      <t>Table 7 Wales:</t>
    </r>
    <r>
      <rPr>
        <sz val="10"/>
        <color rgb="FF000000"/>
        <rFont val="Arial"/>
        <family val="2"/>
      </rPr>
      <t xml:space="preserve"> Funding body grants - Wales</t>
    </r>
  </si>
  <si>
    <r>
      <rPr>
        <b/>
        <sz val="10"/>
        <color rgb="FF000000"/>
        <rFont val="Arial"/>
        <family val="2"/>
      </rPr>
      <t>Table 6 Wales:</t>
    </r>
    <r>
      <rPr>
        <sz val="10"/>
        <color rgb="FF000000"/>
        <rFont val="Arial"/>
        <family val="2"/>
      </rPr>
      <t xml:space="preserve"> Funding body grants - Wales</t>
    </r>
  </si>
  <si>
    <r>
      <rPr>
        <b/>
        <sz val="10"/>
        <color rgb="FF000000"/>
        <rFont val="Arial"/>
        <family val="2"/>
      </rPr>
      <t>Table 7 Scotland:</t>
    </r>
    <r>
      <rPr>
        <sz val="10"/>
        <color rgb="FF000000"/>
        <rFont val="Arial"/>
        <family val="2"/>
      </rPr>
      <t xml:space="preserve"> Funding body grants - Scotland</t>
    </r>
  </si>
  <si>
    <r>
      <rPr>
        <b/>
        <sz val="10"/>
        <color rgb="FF000000"/>
        <rFont val="Arial"/>
        <family val="2"/>
      </rPr>
      <t>Table 6 Scotland:</t>
    </r>
    <r>
      <rPr>
        <sz val="10"/>
        <color rgb="FF000000"/>
        <rFont val="Arial"/>
        <family val="2"/>
      </rPr>
      <t xml:space="preserve"> Funding body grants - Scotland</t>
    </r>
  </si>
  <si>
    <r>
      <rPr>
        <b/>
        <sz val="10"/>
        <color rgb="FF000000"/>
        <rFont val="Arial"/>
        <family val="2"/>
      </rPr>
      <t>Table 7 N Ireland:</t>
    </r>
    <r>
      <rPr>
        <sz val="10"/>
        <color rgb="FF000000"/>
        <rFont val="Arial"/>
        <family val="2"/>
      </rPr>
      <t xml:space="preserve"> Funding body grants - Northern Ireland</t>
    </r>
  </si>
  <si>
    <r>
      <rPr>
        <b/>
        <sz val="10"/>
        <color rgb="FF000000"/>
        <rFont val="Arial"/>
        <family val="2"/>
      </rPr>
      <t>Table 6 N Ireland:</t>
    </r>
    <r>
      <rPr>
        <sz val="10"/>
        <color rgb="FF000000"/>
        <rFont val="Arial"/>
        <family val="2"/>
      </rPr>
      <t xml:space="preserve"> Funding body grants - Northern Ireland</t>
    </r>
  </si>
  <si>
    <r>
      <rPr>
        <b/>
        <sz val="10"/>
        <color rgb="FF000000"/>
        <rFont val="Arial"/>
        <family val="2"/>
      </rPr>
      <t>Table 8:</t>
    </r>
    <r>
      <rPr>
        <sz val="10"/>
        <color rgb="FF000000"/>
        <rFont val="Arial"/>
        <family val="2"/>
      </rPr>
      <t xml:space="preserve"> Expenditure -  breakdown by activity and HESA cost centre</t>
    </r>
  </si>
  <si>
    <r>
      <rPr>
        <b/>
        <sz val="10"/>
        <color rgb="FF000000"/>
        <rFont val="Arial"/>
        <family val="2"/>
      </rPr>
      <t>Table 8:</t>
    </r>
    <r>
      <rPr>
        <sz val="10"/>
        <color rgb="FF000000"/>
        <rFont val="Arial"/>
        <family val="2"/>
      </rPr>
      <t xml:space="preserve"> Analysis of expenditure - breakdown by activity and HESA cost centre</t>
    </r>
  </si>
  <si>
    <r>
      <rPr>
        <b/>
        <sz val="10"/>
        <color rgb="FF000000"/>
        <rFont val="Arial"/>
        <family val="2"/>
      </rPr>
      <t>Table 7:</t>
    </r>
    <r>
      <rPr>
        <sz val="10"/>
        <color rgb="FF000000"/>
        <rFont val="Arial"/>
        <family val="2"/>
      </rPr>
      <t xml:space="preserve"> Expenditure -  breakdown by activity and HESA cost centre</t>
    </r>
  </si>
  <si>
    <r>
      <rPr>
        <b/>
        <sz val="10"/>
        <color rgb="FF000000"/>
        <rFont val="Arial"/>
        <family val="2"/>
      </rPr>
      <t>Table 9:</t>
    </r>
    <r>
      <rPr>
        <sz val="10"/>
        <color rgb="FF000000"/>
        <rFont val="Arial"/>
        <family val="2"/>
      </rPr>
      <t xml:space="preserve"> Capital expenditure</t>
    </r>
  </si>
  <si>
    <r>
      <rPr>
        <b/>
        <sz val="10"/>
        <color rgb="FF000000"/>
        <rFont val="Arial"/>
        <family val="2"/>
      </rPr>
      <t>Table 12:</t>
    </r>
    <r>
      <rPr>
        <sz val="10"/>
        <color rgb="FF000000"/>
        <rFont val="Arial"/>
        <family val="2"/>
      </rPr>
      <t xml:space="preserve"> Analysis of capital expenditure</t>
    </r>
  </si>
  <si>
    <r>
      <rPr>
        <b/>
        <sz val="10"/>
        <color rgb="FF000000"/>
        <rFont val="Arial"/>
        <family val="2"/>
      </rPr>
      <t>Table 8:</t>
    </r>
    <r>
      <rPr>
        <sz val="10"/>
        <color rgb="FF000000"/>
        <rFont val="Arial"/>
        <family val="2"/>
      </rPr>
      <t xml:space="preserve"> Capital expenditure</t>
    </r>
  </si>
  <si>
    <r>
      <rPr>
        <b/>
        <sz val="10"/>
        <color rgb="FF000000"/>
        <rFont val="Arial"/>
        <family val="2"/>
      </rPr>
      <t>Table 10</t>
    </r>
    <r>
      <rPr>
        <sz val="10"/>
        <color rgb="FF000000"/>
        <rFont val="Arial"/>
        <family val="2"/>
      </rPr>
      <t>: Separately disclosed material items from the audited financial statement of comprehensive income and expenditure</t>
    </r>
  </si>
  <si>
    <t>No comparable Table</t>
  </si>
  <si>
    <r>
      <rPr>
        <b/>
        <sz val="10"/>
        <color rgb="FF000000"/>
        <rFont val="Arial"/>
        <family val="2"/>
      </rPr>
      <t>Table 9</t>
    </r>
    <r>
      <rPr>
        <sz val="10"/>
        <color rgb="FF000000"/>
        <rFont val="Arial"/>
        <family val="2"/>
      </rPr>
      <t>: Separately disclosed material items from the audited financial statement of comprehensive income and expenditure</t>
    </r>
  </si>
  <si>
    <r>
      <rPr>
        <b/>
        <sz val="10"/>
        <color rgb="FF000000"/>
        <rFont val="Arial"/>
        <family val="2"/>
      </rPr>
      <t>Table 11:</t>
    </r>
    <r>
      <rPr>
        <sz val="10"/>
        <color rgb="FF000000"/>
        <rFont val="Arial"/>
        <family val="2"/>
      </rPr>
      <t xml:space="preserve"> Head of provider remuneration</t>
    </r>
  </si>
  <si>
    <r>
      <rPr>
        <b/>
        <sz val="10"/>
        <color rgb="FF000000"/>
        <rFont val="Arial"/>
        <family val="2"/>
      </rPr>
      <t>Table 11:</t>
    </r>
    <r>
      <rPr>
        <sz val="10"/>
        <color rgb="FF000000"/>
        <rFont val="Arial"/>
        <family val="2"/>
      </rPr>
      <t xml:space="preserve"> Head of provider remuneration</t>
    </r>
  </si>
  <si>
    <r>
      <rPr>
        <b/>
        <sz val="10"/>
        <color rgb="FF000000"/>
        <rFont val="Arial"/>
        <family val="2"/>
      </rPr>
      <t>Table 10:</t>
    </r>
    <r>
      <rPr>
        <sz val="10"/>
        <color rgb="FF000000"/>
        <rFont val="Arial"/>
        <family val="2"/>
      </rPr>
      <t xml:space="preserve"> Head of provider remuneration</t>
    </r>
  </si>
  <si>
    <r>
      <rPr>
        <b/>
        <sz val="10"/>
        <color rgb="FF000000"/>
        <rFont val="Arial"/>
        <family val="2"/>
      </rPr>
      <t>Table 12:</t>
    </r>
    <r>
      <rPr>
        <sz val="10"/>
        <color rgb="FF000000"/>
        <rFont val="Arial"/>
        <family val="2"/>
      </rPr>
      <t xml:space="preserve"> Analysis of staff costs</t>
    </r>
  </si>
  <si>
    <r>
      <rPr>
        <b/>
        <sz val="10"/>
        <color rgb="FF000000"/>
        <rFont val="Arial"/>
        <family val="2"/>
      </rPr>
      <t>Table 9:</t>
    </r>
    <r>
      <rPr>
        <sz val="10"/>
        <color rgb="FF000000"/>
        <rFont val="Arial"/>
        <family val="2"/>
      </rPr>
      <t xml:space="preserve"> Analysis of expenditure - staff costs</t>
    </r>
  </si>
  <si>
    <r>
      <rPr>
        <b/>
        <sz val="10"/>
        <color rgb="FF000000"/>
        <rFont val="Arial"/>
        <family val="2"/>
      </rPr>
      <t>Table 11:</t>
    </r>
    <r>
      <rPr>
        <sz val="10"/>
        <color rgb="FF000000"/>
        <rFont val="Arial"/>
        <family val="2"/>
      </rPr>
      <t xml:space="preserve"> Analysis of staff costs</t>
    </r>
  </si>
  <si>
    <r>
      <rPr>
        <b/>
        <sz val="10"/>
        <color rgb="FF000000"/>
        <rFont val="Arial"/>
        <family val="2"/>
      </rPr>
      <t>Table 13:</t>
    </r>
    <r>
      <rPr>
        <sz val="10"/>
        <color rgb="FF000000"/>
        <rFont val="Arial"/>
        <family val="2"/>
      </rPr>
      <t xml:space="preserve"> Severance payments</t>
    </r>
  </si>
  <si>
    <r>
      <rPr>
        <b/>
        <sz val="10"/>
        <color rgb="FF000000"/>
        <rFont val="Arial"/>
        <family val="2"/>
      </rPr>
      <t>Table 10:</t>
    </r>
    <r>
      <rPr>
        <sz val="10"/>
        <color rgb="FF000000"/>
        <rFont val="Arial"/>
        <family val="2"/>
      </rPr>
      <t xml:space="preserve"> Analysis of expenditure - severance payments</t>
    </r>
  </si>
  <si>
    <r>
      <rPr>
        <b/>
        <sz val="10"/>
        <color rgb="FF000000"/>
        <rFont val="Arial"/>
        <family val="2"/>
      </rPr>
      <t>Table 12:</t>
    </r>
    <r>
      <rPr>
        <sz val="10"/>
        <color rgb="FF000000"/>
        <rFont val="Arial"/>
        <family val="2"/>
      </rPr>
      <t xml:space="preserve"> Severance payments</t>
    </r>
  </si>
  <si>
    <t>KFI</t>
  </si>
  <si>
    <r>
      <rPr>
        <b/>
        <sz val="10"/>
        <color rgb="FF000000"/>
        <rFont val="Arial"/>
        <family val="2"/>
      </rPr>
      <t>Table 7:</t>
    </r>
    <r>
      <rPr>
        <sz val="10"/>
        <color rgb="FF000000"/>
        <rFont val="Arial"/>
        <family val="2"/>
      </rPr>
      <t xml:space="preserve"> Student numbers (FTE)</t>
    </r>
  </si>
  <si>
    <r>
      <rPr>
        <b/>
        <sz val="10"/>
        <color rgb="FF000000"/>
        <rFont val="Arial"/>
        <family val="2"/>
      </rPr>
      <t>Table 13:</t>
    </r>
    <r>
      <rPr>
        <sz val="10"/>
        <color rgb="FF000000"/>
        <rFont val="Arial"/>
        <family val="2"/>
      </rPr>
      <t xml:space="preserve"> Financial commitments</t>
    </r>
  </si>
  <si>
    <r>
      <rPr>
        <b/>
        <sz val="10"/>
        <color rgb="FF000000"/>
        <rFont val="Arial"/>
        <family val="2"/>
      </rPr>
      <t>Table 14:</t>
    </r>
    <r>
      <rPr>
        <sz val="10"/>
        <color rgb="FF000000"/>
        <rFont val="Arial"/>
        <family val="2"/>
      </rPr>
      <t xml:space="preserve"> Access and participation investment</t>
    </r>
  </si>
  <si>
    <t>OFS submission to C18035 Tables (Datasubmit flags):</t>
  </si>
  <si>
    <t>Table 1 = All 'YES' (including values from other tables and subtotals)</t>
  </si>
  <si>
    <t>Table 3 = All 'YES' (including values from subtotals)</t>
  </si>
  <si>
    <t>Table 4 =  All 'YES' (including values from other tables and subtotals)</t>
  </si>
  <si>
    <t>Table 5 = 'Mix of YES' or 'NO' (including values from other tables and subtotals)</t>
  </si>
  <si>
    <t>Table 6= All 'YES' (including values from subtotals)</t>
  </si>
  <si>
    <t>Table 7 = Mix of 'YES' or 'NO' (including values from subtotals), 'NULL' for values HESA have used from other tables</t>
  </si>
  <si>
    <t>Table 8 = Mix of 'YES' or 'NO' (including values from subtotals)</t>
  </si>
  <si>
    <t>Table 9 = Mix of YES' (including values from subtotals), 'NULL' for values HESA have worked out as a subtotal </t>
  </si>
  <si>
    <t>Table 11= Mix of 'YES' or 'NO' (including values from subtotals)</t>
  </si>
  <si>
    <t>Table 12 = Mix of 'YES' or 'NO' (including values from subtotals), 'NULL' for values HESA have worked out as a subtotal</t>
  </si>
  <si>
    <t>Table 13 =Mix of 'YES' or 'NO'</t>
  </si>
  <si>
    <t>Summary:</t>
  </si>
  <si>
    <t>Cost centre tables (5 and 8), the derived cost centre data in Table 7, blank cells in Table 11, blank cells in Table 12 and parts of Table 13 can have 'NO' as not all OfS providers need to complete these cells</t>
  </si>
  <si>
    <t>Calculated values and values pulled in from other tables have 'YES'</t>
  </si>
  <si>
    <t>Therefore only 3 values are needed: YES, NO, NULL</t>
  </si>
  <si>
    <t>Changes from C18031:</t>
  </si>
  <si>
    <t>Date</t>
  </si>
  <si>
    <t>Table Changed</t>
  </si>
  <si>
    <t>Head/Rule Changed</t>
  </si>
  <si>
    <t>Change Made</t>
  </si>
  <si>
    <t>Template</t>
  </si>
  <si>
    <t>Rolled-on Template &amp; updated year end dates</t>
  </si>
  <si>
    <t>Table 3 onwards</t>
  </si>
  <si>
    <t>Tables re-numbered after Table 1 (re-instating a Table 2)</t>
  </si>
  <si>
    <t>Title Page</t>
  </si>
  <si>
    <t>All rules</t>
  </si>
  <si>
    <t>Rolled-on date and updated numbers from Table 2 onwards</t>
  </si>
  <si>
    <t>Cell references column changed to now show Table and Head numbers automatically</t>
  </si>
  <si>
    <t>Head 1 (current year &amp; restated year)</t>
  </si>
  <si>
    <t>Input from Table 6</t>
  </si>
  <si>
    <t>Head 2 (current year)</t>
  </si>
  <si>
    <t>Input from Table 11, Table 7</t>
  </si>
  <si>
    <t>Head 2a (restated year)</t>
  </si>
  <si>
    <t>Input from Table 11</t>
  </si>
  <si>
    <t>Head 1a, 2a, 2e, 2l, 2m (current year)</t>
  </si>
  <si>
    <t>Input from Table 1, Table 7</t>
  </si>
  <si>
    <t>Head 1a, 2e, 2l, 2m (restated year)</t>
  </si>
  <si>
    <t>Input from Table 1</t>
  </si>
  <si>
    <t>Head 1 (restated year)</t>
  </si>
  <si>
    <t>Input from Table 5</t>
  </si>
  <si>
    <t>Title page</t>
  </si>
  <si>
    <t>Rule 6.1 to 6.18, 7.54 to 7.62, 7.64, 7.66, 7.68, 11.1, 11.2</t>
  </si>
  <si>
    <t>Rules deleted as automatic links between tables</t>
  </si>
  <si>
    <t>Rule 5.13</t>
  </si>
  <si>
    <t>New rule added</t>
  </si>
  <si>
    <t>Rule 5.14</t>
  </si>
  <si>
    <t>Other changes</t>
  </si>
  <si>
    <t>Head 8 (restated year)</t>
  </si>
  <si>
    <t>Removed grey shading on cell</t>
  </si>
  <si>
    <t>Head 6a and Head 6b</t>
  </si>
  <si>
    <t>Formulas deleted</t>
  </si>
  <si>
    <t>Head 3</t>
  </si>
  <si>
    <t xml:space="preserve">3 new subtotals added, Heads 3h to 3o re-numbered &amp; formula altered for Head 3 total </t>
  </si>
  <si>
    <t>Head 2, Head 4, Head 5</t>
  </si>
  <si>
    <t>3 new subtotals added, Head 2 headings moved to column C</t>
  </si>
  <si>
    <t>Head 3e</t>
  </si>
  <si>
    <t>Head re-named to be consistent with the rest of the template</t>
  </si>
  <si>
    <t>Head 3a vix, ix</t>
  </si>
  <si>
    <t>Head 3a vix number is wrong so re-numbered to 3a ix, Head 3a ix re-numbered to 3a x</t>
  </si>
  <si>
    <t>40 rules amended</t>
  </si>
  <si>
    <t>Rule descriptions updated with correct Table numbers and Year references</t>
  </si>
  <si>
    <t>Rule 2S.5</t>
  </si>
  <si>
    <t>Rule formula amended</t>
  </si>
  <si>
    <t>Rule 12.8, 12.9, 12.10</t>
  </si>
  <si>
    <t>Head 4ai, ii</t>
  </si>
  <si>
    <t>Woding change to be consistent with OfS</t>
  </si>
  <si>
    <t>Table 8</t>
  </si>
  <si>
    <t>Column 1 (Total actual spend)</t>
  </si>
  <si>
    <t>Column moved to the end of the table and all columns have been re-numbered</t>
  </si>
  <si>
    <t>Table 4, 5, 7, 8, 10</t>
  </si>
  <si>
    <t>Total columns</t>
  </si>
  <si>
    <t>Added Grey shading to Total columns</t>
  </si>
  <si>
    <t>Head 1</t>
  </si>
  <si>
    <t>New head added 'Other non-current assets', 'Total non-current assets' Head number and formula changed</t>
  </si>
  <si>
    <t>Head 11c, 12</t>
  </si>
  <si>
    <t>New head added 'Other reserves', Head 12 formula changed</t>
  </si>
  <si>
    <t>New heads added for salaries and wages split by academic and non-academic staff and sub total added. Head 1 'Total staff costs' formula changed. All Head 1 Head numbers changed &amp; Head names moved to column C</t>
  </si>
  <si>
    <t>Column 5 onwards</t>
  </si>
  <si>
    <t>Extra 'Loans' columns added and columns re-numbered from 5 onwards. Loans total column added. Total actual spend formula changed</t>
  </si>
  <si>
    <t>Head 5, 15 (column M)</t>
  </si>
  <si>
    <t>Extra Head added and subsequent Heads re-numbered. Head 9 formula changed</t>
  </si>
  <si>
    <t>Head 19, 20</t>
  </si>
  <si>
    <t>Extra Heads and explanation box added for Head 20</t>
  </si>
  <si>
    <t>Head 17, 18b</t>
  </si>
  <si>
    <t>Formatting changed on Heads</t>
  </si>
  <si>
    <t>Table 2 &amp; 2S</t>
  </si>
  <si>
    <t>Table name</t>
  </si>
  <si>
    <t>Title of table changed</t>
  </si>
  <si>
    <t>New Head added 'Investments in subsidiaries', subsequent heads re-numbered, Total formula changed</t>
  </si>
  <si>
    <t>New Head added 'Tax and social security costs', subsequent heads re-numbered, Total formula changed</t>
  </si>
  <si>
    <t>Head 1a</t>
  </si>
  <si>
    <t>Head name changed</t>
  </si>
  <si>
    <t>Head 4, 5, 6</t>
  </si>
  <si>
    <t>New heads added  and subsequent heads re-numbered. Head 6 formula changed</t>
  </si>
  <si>
    <t>Head 7d, 7i, 7k (column M), 7m (column M), 8c, 8i (column M)</t>
  </si>
  <si>
    <t>Head names changed</t>
  </si>
  <si>
    <t>Head 8d</t>
  </si>
  <si>
    <t>New head added  and subsequent heads re-numbered. Head 8j formula changed</t>
  </si>
  <si>
    <t>Head 6</t>
  </si>
  <si>
    <t>New head added</t>
  </si>
  <si>
    <t>Row 5</t>
  </si>
  <si>
    <t>Row 5 deleted (obsolete row)</t>
  </si>
  <si>
    <t>Restated year column</t>
  </si>
  <si>
    <t>Added the previous years column into table plus validation/conditional formatting</t>
  </si>
  <si>
    <t>Head 4h</t>
  </si>
  <si>
    <t>New head added 'Subcontracted in course fees' and sebsequent heads re-numbered. Head 4j formula changed</t>
  </si>
  <si>
    <t xml:space="preserve">Head 3b </t>
  </si>
  <si>
    <t>Head 3b totals row moved to the end of the section (Head 3b iv)</t>
  </si>
  <si>
    <t>Head 5, 19, 15 (column M)</t>
  </si>
  <si>
    <t>Extra Heads added and subsequent Heads re-numbered. Head 9 formula changed</t>
  </si>
  <si>
    <t>Head 17</t>
  </si>
  <si>
    <t>Head 1l</t>
  </si>
  <si>
    <t>New head added including a new formula</t>
  </si>
  <si>
    <t>Head 2</t>
  </si>
  <si>
    <t>New heads added for average staff numbers split by academic and non-academic staff and sub total added.</t>
  </si>
  <si>
    <t>Additional heads and changed order. New subtotals added</t>
  </si>
  <si>
    <t>Table 6W</t>
  </si>
  <si>
    <t>Head 1j, 2</t>
  </si>
  <si>
    <t>Woding change</t>
  </si>
  <si>
    <t>Head 20</t>
  </si>
  <si>
    <t>Add extra line for exceptional costs</t>
  </si>
  <si>
    <t>Table1, 2, 3, 9</t>
  </si>
  <si>
    <t>Conditional formatting formulas changed</t>
  </si>
  <si>
    <t xml:space="preserve">Head 2e </t>
  </si>
  <si>
    <t>Missing from Variance between years and restated years rule formulas</t>
  </si>
  <si>
    <t>Rule 3.10</t>
  </si>
  <si>
    <t>Rule removed as Table 1 Head 2d and Table 3 Head 2a are automatically populated, therefore rule will never trigger</t>
  </si>
  <si>
    <t>Delete on VK</t>
  </si>
  <si>
    <t>Rule 5.13 &amp; 5.14</t>
  </si>
  <si>
    <t>Rules removed as all countries to complete Heads now</t>
  </si>
  <si>
    <t>Rule 7.63, 7.65 &amp; 7.67</t>
  </si>
  <si>
    <t>Rules removed as Table 1 Head 2a is automatically populated from Table 7 Head 8, therefore rules will never trigger</t>
  </si>
  <si>
    <t>KFI 4, KFI 5</t>
  </si>
  <si>
    <t>Formula changes. KFI 4: Added Table 2 Head 11c (Other reserves) to the Numerator, KFI 5: Added Table 2 Head 3g (Loans from directors), Head 7d (Loans from directors) &amp; Head 7e (UK government COVID-19 loan support) to the Numerator.</t>
  </si>
  <si>
    <t>Rule 8.15</t>
  </si>
  <si>
    <t>Formula changed to point to Total loans</t>
  </si>
  <si>
    <t xml:space="preserve">Rules: 2.9, 2.13, 2.14, 3.9, 3.11, 5.8, 5.9, 5.10, 5.11, 10.8, 10.9, 10.10, 10.11, 10.12, 10.14, 10.15, 11.6, 12.1, 12.2, 12.4, 12.7 </t>
  </si>
  <si>
    <t>Rule descriptions changed</t>
  </si>
  <si>
    <t>Rule 6W.1</t>
  </si>
  <si>
    <t>Change formula reference. BCI 94363</t>
  </si>
  <si>
    <t>Feedback on Template version 0.a</t>
  </si>
  <si>
    <t>Description in Column M changed Head number as it was wrong</t>
  </si>
  <si>
    <t>Diane Rowland</t>
  </si>
  <si>
    <t>Table 1, Table 9</t>
  </si>
  <si>
    <t>Head 2b</t>
  </si>
  <si>
    <t>Head name changed: Removed 'Fundamental' (now: Restructuring costs)</t>
  </si>
  <si>
    <t>OfS, Shaila</t>
  </si>
  <si>
    <t>Head 2d</t>
  </si>
  <si>
    <t>Name change: Added 'and amortisation'</t>
  </si>
  <si>
    <t>Head 4</t>
  </si>
  <si>
    <t>Name change:'tangible' (was fixed)</t>
  </si>
  <si>
    <t>OfS</t>
  </si>
  <si>
    <t>Head 1, 2a (restated year)</t>
  </si>
  <si>
    <t>Automatic links to tables has been removed</t>
  </si>
  <si>
    <t>Steve</t>
  </si>
  <si>
    <t>Head 1e</t>
  </si>
  <si>
    <t>Name changed to 'Tangible assets'</t>
  </si>
  <si>
    <t>Name change: Added '(excluding loans to directors)'</t>
  </si>
  <si>
    <t>Head 2e</t>
  </si>
  <si>
    <t>New Head added: 'Loans to directors' and subsequent Head 2 numbers changed</t>
  </si>
  <si>
    <t>OfS, Shaila, Diane Rowland</t>
  </si>
  <si>
    <t>Head 3g</t>
  </si>
  <si>
    <t>New Head: 'Loans from directors' and subsequent Head 3 numbers changed</t>
  </si>
  <si>
    <t>Head 7d</t>
  </si>
  <si>
    <t>New Head: 'Loans from directors' and subsequent Head 7 numbers changed</t>
  </si>
  <si>
    <t>Head 15</t>
  </si>
  <si>
    <t>New Head: 'Share capital (including share premium)'</t>
  </si>
  <si>
    <t>Head 3h, 7e</t>
  </si>
  <si>
    <t>New Heads: 'UK government COVID-19 loan support'</t>
  </si>
  <si>
    <t>Scotland</t>
  </si>
  <si>
    <t>Heads 3f, 7c</t>
  </si>
  <si>
    <t>Name change: Added '(including financial transactions)'</t>
  </si>
  <si>
    <t>Head 2c</t>
  </si>
  <si>
    <t>Name changed to 'Release of negative goodwill from asset acquisition'</t>
  </si>
  <si>
    <t>Head 3d</t>
  </si>
  <si>
    <t>Head changed with 'tangible and intangible assets'</t>
  </si>
  <si>
    <t>Head 5</t>
  </si>
  <si>
    <t>Head changed: Added 'paid'</t>
  </si>
  <si>
    <t>Head 7a</t>
  </si>
  <si>
    <t>Head changed 'tangible'</t>
  </si>
  <si>
    <t>Head changed 'asset'</t>
  </si>
  <si>
    <t>Head 7g</t>
  </si>
  <si>
    <t>Head 7m</t>
  </si>
  <si>
    <t>Head deleted 'Of which: Endowment funds invested '</t>
  </si>
  <si>
    <t>Head 8c</t>
  </si>
  <si>
    <t>Head changed: Added 'received'</t>
  </si>
  <si>
    <t>Head 8i</t>
  </si>
  <si>
    <t>New Head 'Dividends paid'</t>
  </si>
  <si>
    <t>OfS, Diane Rowlands</t>
  </si>
  <si>
    <t>Head 11</t>
  </si>
  <si>
    <t>New head added 'Exchange losses on cash and cash equivalents'</t>
  </si>
  <si>
    <t>Head 12</t>
  </si>
  <si>
    <t>Formula changed</t>
  </si>
  <si>
    <t>Head changed: deleted '(Wales only)'</t>
  </si>
  <si>
    <t>Head 3m</t>
  </si>
  <si>
    <t>Head changed: 'Total EU sources (excluding UK)'</t>
  </si>
  <si>
    <t>Heads 4i, 4j</t>
  </si>
  <si>
    <t>New Heads added: 'Coronavirus job retention scheme funding', 'City deal funding'</t>
  </si>
  <si>
    <t>Head 10</t>
  </si>
  <si>
    <t>Rows deleted to match Table 1</t>
  </si>
  <si>
    <t>1i</t>
  </si>
  <si>
    <t>Head name change: Added : '(USS)'</t>
  </si>
  <si>
    <t>1j</t>
  </si>
  <si>
    <t>New Head: 'Changes to pension provisions (other)'</t>
  </si>
  <si>
    <t>1e, 1f, 1g</t>
  </si>
  <si>
    <t>Head change: replaced 'costs' with 'contribution' &amp; initials included</t>
  </si>
  <si>
    <t>Scotland, OfS</t>
  </si>
  <si>
    <t>Head 9</t>
  </si>
  <si>
    <t>Head change: added '/(liabilities)'</t>
  </si>
  <si>
    <t>Head changes: Added 'and investment property'</t>
  </si>
  <si>
    <t>Head 2a, 2bi</t>
  </si>
  <si>
    <t>Head changes:  replace 'including' to 'before'</t>
  </si>
  <si>
    <t>Head 2biii</t>
  </si>
  <si>
    <t>Head 2i</t>
  </si>
  <si>
    <t>Head changed: Added '(before salary sacrifice)'</t>
  </si>
  <si>
    <t>Head 1m</t>
  </si>
  <si>
    <t>Head changed: Added 'changes to pension provisions and ' &amp; formula changed</t>
  </si>
  <si>
    <t>OfS, Steve</t>
  </si>
  <si>
    <t>Feedback on Template version 0.b</t>
  </si>
  <si>
    <t>Columns 4 and 6</t>
  </si>
  <si>
    <t>Heads changes to match Table 1 Headings</t>
  </si>
  <si>
    <t>Head 2a</t>
  </si>
  <si>
    <t>Shaila</t>
  </si>
  <si>
    <t>Questions</t>
  </si>
  <si>
    <t>Table_12_UK should not contain all zeros (current year). - Rule 12.8</t>
  </si>
  <si>
    <t>Is a new rule needed as there is one for the restated year?</t>
  </si>
  <si>
    <t xml:space="preserve">2019-20 HESA Finance record - </t>
  </si>
  <si>
    <t>Version:</t>
  </si>
  <si>
    <t>Provider name:</t>
  </si>
  <si>
    <t>The University of Edinburgh</t>
  </si>
  <si>
    <t>Errors:</t>
  </si>
  <si>
    <t>UKPRN:</t>
  </si>
  <si>
    <t>10007790</t>
  </si>
  <si>
    <t>Warnings:</t>
  </si>
  <si>
    <t>Country:</t>
  </si>
  <si>
    <t>RECID:</t>
  </si>
  <si>
    <t/>
  </si>
  <si>
    <t xml:space="preserve">The Finance record is split over separate worksheet tabs with one table per tab. Some tabs are specific to the location of the provider. All relevant tables must be completed.
</t>
  </si>
  <si>
    <t>Please note that when restating figures the cell colour will change to show that the figure is different from that returned to HESA last year.</t>
  </si>
  <si>
    <t>Some of these rules are exempted by switches applicable to individual providers</t>
  </si>
  <si>
    <t>For information on current exemptions please contact Institutional Liaison:</t>
  </si>
  <si>
    <r>
      <rPr>
        <sz val="10"/>
        <color rgb="FF000000"/>
        <rFont val="Arial"/>
        <family val="2"/>
      </rPr>
      <t xml:space="preserve">Email: </t>
    </r>
    <r>
      <rPr>
        <u/>
        <sz val="11"/>
        <color indexed="12"/>
        <rFont val="Arial"/>
        <family val="2"/>
      </rPr>
      <t>liaison@hesa.ac.uk</t>
    </r>
  </si>
  <si>
    <t>Telephone: 01242 211144</t>
  </si>
  <si>
    <t>Help for completing the record and COMMIT-stage validation can be found at:</t>
  </si>
  <si>
    <t>General Guidance to Tables and COMMIT-stage validation</t>
  </si>
  <si>
    <t>HESA Specific Rules</t>
  </si>
  <si>
    <t>Rule number</t>
  </si>
  <si>
    <t>Rule wording</t>
  </si>
  <si>
    <t>Rule Head reference</t>
  </si>
  <si>
    <t>Status</t>
  </si>
  <si>
    <t>Result</t>
  </si>
  <si>
    <t>Triggered Head and value</t>
  </si>
  <si>
    <t>hide this column</t>
  </si>
  <si>
    <t>QR.C19031.Table1.1</t>
  </si>
  <si>
    <t>Tuition fees and education contracts must not be zero.</t>
  </si>
  <si>
    <t>Error</t>
  </si>
  <si>
    <t>QR.C19031.Table1.2</t>
  </si>
  <si>
    <t>Funding body grants must not be zero.</t>
  </si>
  <si>
    <t>QR.C19031.Table1.3</t>
  </si>
  <si>
    <t>Research grants and contracts should not be zero.</t>
  </si>
  <si>
    <t>Warning</t>
  </si>
  <si>
    <t>QR.C19031.Table1.4</t>
  </si>
  <si>
    <t>Other income must not be zero.</t>
  </si>
  <si>
    <t>QR.C19031.Table1.5</t>
  </si>
  <si>
    <t>Investment income should not be zero.</t>
  </si>
  <si>
    <t>QR.C19031.Table1.6</t>
  </si>
  <si>
    <t>Donations and endowments should not be zero.</t>
  </si>
  <si>
    <t>QR.C19031.Table1.7</t>
  </si>
  <si>
    <t>Total income must not be zero (current year).</t>
  </si>
  <si>
    <t>QR.C19031.Table1.8</t>
  </si>
  <si>
    <t>Total income must not be zero (restated year).</t>
  </si>
  <si>
    <t>QR.C19031.Table1.9</t>
  </si>
  <si>
    <t>Total expenditure must not be zero (current year).</t>
  </si>
  <si>
    <t>QR.C19031.Table1.10</t>
  </si>
  <si>
    <t>Total expenditure must not be zero (restated year).</t>
  </si>
  <si>
    <t>QR.C19031.Table1.12</t>
  </si>
  <si>
    <t>Total comprehensive income must equal the Total breakdown represented by Endowment, Restricted, Unrestricted, Revaluation reserve and Non-controlling interest.</t>
  </si>
  <si>
    <t>QR.C19031.Table1.13</t>
  </si>
  <si>
    <t>Details of 'Miscellaneous types of Other comprehensive income' items must be specified in the text box if a value is entered.</t>
  </si>
  <si>
    <t>QR.C19031.Table1.14</t>
  </si>
  <si>
    <t>Miscellaneous types of Other comprehensive income' text box must be blank if a value is NOT entered.</t>
  </si>
  <si>
    <t>QR.C19031.Table1.15</t>
  </si>
  <si>
    <t>Total comprehensive income for the year should equal net assets movement.</t>
  </si>
  <si>
    <t>QR.C19031.Table1.16</t>
  </si>
  <si>
    <t>There is a significant difference of values between years on Table 1.</t>
  </si>
  <si>
    <t>QR.C19031.Table1.17</t>
  </si>
  <si>
    <t>There is a difference of values between the restated figures on Table 1.</t>
  </si>
  <si>
    <t>QR.C19031.Table1.18</t>
  </si>
  <si>
    <t>A 'Yes' or 'No' must be indicated for whether any material items have been disclosed separately on the face of the Statement of Consolidated Income in your financial statements (current year).</t>
  </si>
  <si>
    <t>QR.C19031.Table1.19</t>
  </si>
  <si>
    <t>A 'Yes' or 'No' must be indicated for whether any material items have been disclosed separately on the face of the Statement of Consolidated Income in your financial statements (restated year).</t>
  </si>
  <si>
    <t>QR.C19031.Table1.20</t>
  </si>
  <si>
    <t>If it has been declared as 'Yes' that material items have been disclosed separately, then there should be a value entered in Table 9 Separately disclosed material items from the audited financial statement of comprehensive income and expenditure (current year).</t>
  </si>
  <si>
    <t>QR.C19031.Table1.21</t>
  </si>
  <si>
    <t>If it has been declared as 'Yes' that material items have been disclosed separately, then there should be a value entered in Table 9 Separately disclosed material items from the audited financial statement of comprehensive income and expenditure (restated year).</t>
  </si>
  <si>
    <t>QR.C19031.Table2.1</t>
  </si>
  <si>
    <t>Total reserves must not be zero (current year).</t>
  </si>
  <si>
    <t>QR.C19031.Table2.2</t>
  </si>
  <si>
    <t>Total reserves must not be zero (restated year).</t>
  </si>
  <si>
    <t>QR.C19031.Table2.3</t>
  </si>
  <si>
    <t>Total non-current assets must not be zero (current year).</t>
  </si>
  <si>
    <t>QR.C19031.Table2.4</t>
  </si>
  <si>
    <t>Total non-current assets must not be zero (restated year).</t>
  </si>
  <si>
    <t>QR.C19031.Table2.5</t>
  </si>
  <si>
    <t>Total current assets must not be zero (current year).</t>
  </si>
  <si>
    <t>QR.C19031.Table2.6</t>
  </si>
  <si>
    <t>Total current assets must not be zero (restated year).</t>
  </si>
  <si>
    <t>QR.C19031.Table2.7</t>
  </si>
  <si>
    <t>Total creditors (amounts falling due within one year) should not be zero (current year).</t>
  </si>
  <si>
    <t>QR.C19031.Table2.8</t>
  </si>
  <si>
    <t>Total creditors (amounts falling due within one year) should not be zero (restated year).</t>
  </si>
  <si>
    <t>QR.C19031.Table2.9</t>
  </si>
  <si>
    <t>Total net assets/(liabilities) must equal Total reserves (current year).</t>
  </si>
  <si>
    <t>QR.C19031.Table2.10</t>
  </si>
  <si>
    <t>Total net assets must equal Total reserves (restated year).</t>
  </si>
  <si>
    <t>QR.C19031.Table2.11</t>
  </si>
  <si>
    <t>Negative goodwill value must be entered as a negative (current year).</t>
  </si>
  <si>
    <t>QR.C19031.Table2.12</t>
  </si>
  <si>
    <t>Negative goodwill value must be entered as a negative (restated year).</t>
  </si>
  <si>
    <t>QR.C19031.Table2.13</t>
  </si>
  <si>
    <t>Tangible assets must not be zero (current year).</t>
  </si>
  <si>
    <t>QR.C19031.Table2.14</t>
  </si>
  <si>
    <t>Tangible assets must not be zero (restated year).</t>
  </si>
  <si>
    <t>QR.C19031.Table2.15</t>
  </si>
  <si>
    <t>There is a significant difference of values between years on Table 2.</t>
  </si>
  <si>
    <t>QR.C19031.Table2.16</t>
  </si>
  <si>
    <t>There is a difference of values between the restated figures on Table 2.</t>
  </si>
  <si>
    <t>QR.C19031.Table2S.1</t>
  </si>
  <si>
    <t>Investments value must be the same between tables (current year).</t>
  </si>
  <si>
    <t>QR.C19031.Table2S.2</t>
  </si>
  <si>
    <t>Cash and cash equivalents value must be the same between tables (current year).</t>
  </si>
  <si>
    <t>QR.C19031.Table2S.3</t>
  </si>
  <si>
    <t>Investments value must be the same between tables (restated year).</t>
  </si>
  <si>
    <t>QR.C19031.Table2S.4</t>
  </si>
  <si>
    <t>Cash and cash equivalents must be the same between tables (restated year).</t>
  </si>
  <si>
    <t>QR.C19031.Table2S.5</t>
  </si>
  <si>
    <t>Table_2_Scotland should not contain all zeros for providers in Scotland (current year and restated year).</t>
  </si>
  <si>
    <t>QR.C19031.Table2S.6</t>
  </si>
  <si>
    <t>Table_2_Scotland must not be completed by providers outside Scotland.</t>
  </si>
  <si>
    <t>QR.C19031.Table2S.7</t>
  </si>
  <si>
    <t>There is a significant difference of values between years on Table_2_Scotland.</t>
  </si>
  <si>
    <t>QR.C19031.Table2S.8</t>
  </si>
  <si>
    <t>There is a difference of values between the restated figures on Table_2_Scotland.</t>
  </si>
  <si>
    <t>QR.C19031.Table3.1</t>
  </si>
  <si>
    <t>Adjustment for non-cash items: Other, details of 'other' items must be specified in the text box if a value is entered.</t>
  </si>
  <si>
    <t>QR.C19031.Table3.2</t>
  </si>
  <si>
    <t>Adjustment for non-cash items: Other, text box must be blank if a value is NOT entered.</t>
  </si>
  <si>
    <t>QR.C19031.Table3.3</t>
  </si>
  <si>
    <t>Capital grant income should not be zero (current year).</t>
  </si>
  <si>
    <t>QR.C19031.Table3.4</t>
  </si>
  <si>
    <t>Capital grant income should not be zero (restated year).</t>
  </si>
  <si>
    <t>QR.C19031.Table3.5</t>
  </si>
  <si>
    <t>Capital grants receipts should not be zero (current year).</t>
  </si>
  <si>
    <t>QR.C19031.Table3.6</t>
  </si>
  <si>
    <t>Capital grants receipts should not be zero (restated year).</t>
  </si>
  <si>
    <t>QR.C19031.Table3.7</t>
  </si>
  <si>
    <t>Cash and cash equivalents minus Bank overdrafts minus Cash and cash equivalents at the end of the year is greater than +/- 5 (current year).</t>
  </si>
  <si>
    <t>QR.C19031.Table3.8</t>
  </si>
  <si>
    <t>Cash and cash equivalents minus Bank overdrafts minus Cash and cash equivalents at the end of the year is greater than +/- 5 (restated year).</t>
  </si>
  <si>
    <t>QR.C19031.Table3.9</t>
  </si>
  <si>
    <t>Payments made to acquire tangible assets should be more than Payments made to acquire intangible assets.</t>
  </si>
  <si>
    <t>QR.C19031.Table3.11</t>
  </si>
  <si>
    <t>Either Investment income or Endowment income have been returned  as a positive number when they should be returned as a negative (restated year).</t>
  </si>
  <si>
    <t>QR.C19031.Table3.12</t>
  </si>
  <si>
    <t>There is a difference of values between the restated figures on Table 3.</t>
  </si>
  <si>
    <t>QR.C19031.Table4.1</t>
  </si>
  <si>
    <t>There is a value for Total research grants in the income table but no value for this in the expenditure table, or vice versa. Is this genuine?</t>
  </si>
  <si>
    <t>QR.C19031.Table4.2</t>
  </si>
  <si>
    <t>There is a value for Total BEIS Research Councils in the income table but no value for this in the expenditure table, or vice versa. Is this genuine?</t>
  </si>
  <si>
    <t>QR.C19031.Table4.3</t>
  </si>
  <si>
    <t>There is a value for UK-based charities (open competitive process) in the income table but no value for this in the expenditure table, or vice versa. Is this genuine?</t>
  </si>
  <si>
    <t>QR.C19031.Table4.4</t>
  </si>
  <si>
    <t>There is a value for UK-based charities (other) in the income table but no value for this in the expenditure table, or vice versa. Is this genuine?</t>
  </si>
  <si>
    <t>QR.C19031.Table4.5</t>
  </si>
  <si>
    <t>There is a value for UK central government bodies/local authorities, health and hospital authorities in the income table but no value for this in the expenditure table, or vice versa. Is this genuine?</t>
  </si>
  <si>
    <t>QR.C19031.Table4.6</t>
  </si>
  <si>
    <t>There is a value for UK industry, commerce and public corporations in the income table but no value for this in the expenditure table, or vice versa. Is this genuine?</t>
  </si>
  <si>
    <t>QR.C19031.Table4.7</t>
  </si>
  <si>
    <t>There is a value for UK other sources in the income table but no value for this in the expenditure table, or vice versa. Is this genuine?</t>
  </si>
  <si>
    <t>QR.C19031.Table4.8</t>
  </si>
  <si>
    <t>There is a value for EU government bodies in the income table but no value for this in the expenditure table, or vice versa. Is this genuine?</t>
  </si>
  <si>
    <t>QR.C19031.Table4.9</t>
  </si>
  <si>
    <t>There is a value for EU-based charities (open competitive process) in the income table but no value for this in the expenditure table, or vice versa. Is this genuine?</t>
  </si>
  <si>
    <t>QR.C19031.Table4.10</t>
  </si>
  <si>
    <t>There is a value for EU industry, commerce and public corporations in the income table but no value for this in the expenditure table, or vice versa. Is this genuine?</t>
  </si>
  <si>
    <t>QR.C19031.Table4.11</t>
  </si>
  <si>
    <t>There is a value for EU (excluding UK) other in the income table but no value for this in the expenditure table, or vice versa. Is this genuine?</t>
  </si>
  <si>
    <t>QR.C19031.Table4.12</t>
  </si>
  <si>
    <t>There is a value for Non-EU-based charities (open competitive process) in the income table but no value for this in the expenditure table, or vice versa. Is this genuine?</t>
  </si>
  <si>
    <t>QR.C19031.Table4.13</t>
  </si>
  <si>
    <t>There is a value for Non-EU industry, commerce and public corporations in the income table but no value for this in the expenditure table, or vice versa. Is this genuine?</t>
  </si>
  <si>
    <t>QR.C19031.Table4.14</t>
  </si>
  <si>
    <t>There is a value for Non-EU other in the income table but no value for this in the expenditure table, or vice versa. Is this genuine?</t>
  </si>
  <si>
    <t>QR.C19031.Table5.1</t>
  </si>
  <si>
    <t>Research training support grant income would not usually all be under: Income for general research studentships from charities.</t>
  </si>
  <si>
    <t>QR.C19031.Table5.4</t>
  </si>
  <si>
    <t xml:space="preserve">If provider is in Scotland then the sum of column 1 SLC/LEAs/SAAS/DfE(NI), Head 1ai/1bi FT UG and Head 1aii/1bii FT PGCE and Head 1aiii/1biii FT PG taught and Head 1av/1bv PT UG must not be zero.  </t>
  </si>
  <si>
    <t>QR.C19031.Table5.5</t>
  </si>
  <si>
    <t xml:space="preserve">If provider is in Wales then the sum of column 1 SLC/LEAs/SAAS/DfE(NI), Head 1ai/1bi FT UG and Head 1aii/1bii FT PGCE and Head 1aiii/1biii FT PG taught and Head 1av/1bv PT UG must not be zero.  </t>
  </si>
  <si>
    <t>QR.C19031.Table5.6</t>
  </si>
  <si>
    <t xml:space="preserve">If provider is in Northern Ireland then the sum of column 1 SLC/LEAs/SAAS/DfE(NI), Head 1ai/1bi FT UG and Head 1aii/1bii FT PGCE and Head 1aiii/1biii FT PG taught and Head 1av/1bv PT UG must not be zero.  </t>
  </si>
  <si>
    <t>QR.C19031.Table5.8</t>
  </si>
  <si>
    <t>Total Other EU fees should not be zero.</t>
  </si>
  <si>
    <t>QR.C19031.Table5.9</t>
  </si>
  <si>
    <t>Total Non-EU fees should not be zero.</t>
  </si>
  <si>
    <t>QR.C19031.Table5.10</t>
  </si>
  <si>
    <t>UK domicile students, Other EU domicile students, Non-EU domicile students, Non-credit bearing course fees, FE course fees and Research training support grants should have a total value greater than zero in more than 25% of cells.</t>
  </si>
  <si>
    <t>QR.C19031.Table5.11</t>
  </si>
  <si>
    <t>Total tuition fees and education contracts must be the same as Table_1_UK Tuition fees and education contracts (restated year).</t>
  </si>
  <si>
    <t>QR.C19031.Table5.12</t>
  </si>
  <si>
    <t>There is a significant difference of values between years on Table 5.</t>
  </si>
  <si>
    <t>QR.C19031.Table5.14</t>
  </si>
  <si>
    <t xml:space="preserve">Transnational education in EU included in the above or Transnational education overseas included in the above should not be zero.  </t>
  </si>
  <si>
    <t>QR.C19031.Table6W.1</t>
  </si>
  <si>
    <t>Completion of this country specific table must only be by providers in Wales.</t>
  </si>
  <si>
    <t>QR.C19031.Table6S.1</t>
  </si>
  <si>
    <t>Completion of this country specific table must only be by providers in Scotland.</t>
  </si>
  <si>
    <t>QR.C19031.Table6N.1</t>
  </si>
  <si>
    <t>Completion of this country specific table must only be by providers in Northern Ireland.</t>
  </si>
  <si>
    <t>QR.C19031.Table7.1</t>
  </si>
  <si>
    <t>101 Clinical medicine: If Total staff costs are greater than zero then there should be an Other operating expenses value.</t>
  </si>
  <si>
    <t>QR.C19031.Table7.2</t>
  </si>
  <si>
    <t>102 Clinical dentistry: If Total staff costs are greater than zero then there should be an Other operating expenses value.</t>
  </si>
  <si>
    <t>QR.C19031.Table7.3</t>
  </si>
  <si>
    <t>103 Nursing &amp; allied health professions: If Total staff costs are greater than zero then there should be an Other operating expenses value.</t>
  </si>
  <si>
    <t>QR.C19031.Table7.4</t>
  </si>
  <si>
    <t>104 Psychology &amp; behavioural sciences: If Total staff costs are greater than zero then there should be an Other operating expenses value.</t>
  </si>
  <si>
    <t>QR.C19031.Table7.5</t>
  </si>
  <si>
    <t>105 Health &amp; community studies: If Total staff costs are greater than zero then there should be an Other operating expenses value.</t>
  </si>
  <si>
    <t>QR.C19031.Table7.6</t>
  </si>
  <si>
    <t>106 Anatomy &amp; physiology: If Total staff costs are greater than zero then there should be an Other operating expenses value.</t>
  </si>
  <si>
    <t>QR.C19031.Table7.7</t>
  </si>
  <si>
    <t>107 Pharmacy &amp; pharmacology:  If Total staff costs are greater than zero then there should be an Other operating expenses value.</t>
  </si>
  <si>
    <t>QR.C19031.Table7.8</t>
  </si>
  <si>
    <t>108 Sports science &amp; leisure studies: If Total staff costs are greater than zero then there should be an Other operating expenses value.</t>
  </si>
  <si>
    <t>QR.C19031.Table7.9</t>
  </si>
  <si>
    <t>109 Veterinary science: If Total staff costs are greater than zero then there should be an Other operating expenses value.</t>
  </si>
  <si>
    <t>QR.C19031.Table7.10</t>
  </si>
  <si>
    <t>110 Agriculture, forestry &amp; food science: If Total staff costs are greater than zero then there should be an Other operating expenses value.</t>
  </si>
  <si>
    <t>QR.C19031.Table7.11</t>
  </si>
  <si>
    <t>111 Earth, marine &amp; environmental sciences: If Total staff costs are greater than zero then there should be an Other operating expenses value.</t>
  </si>
  <si>
    <t>QR.C19031.Table7.12</t>
  </si>
  <si>
    <t>112 Biosciences: If Total staff costs are greater than zero then there should be an Other operating expenses value.</t>
  </si>
  <si>
    <t>QR.C19031.Table7.13</t>
  </si>
  <si>
    <t>113 Chemistry: If Total staff costs are greater than zero then there should be an Other operating expenses value.</t>
  </si>
  <si>
    <t>QR.C19031.Table7.14</t>
  </si>
  <si>
    <t>114 Physics: If Total staff costs are greater than zero then there should be an Other operating expenses value.</t>
  </si>
  <si>
    <t>QR.C19031.Table7.15</t>
  </si>
  <si>
    <t>115 General engineering: If Total staff costs are greater than zero then there should be an Other operating expenses value.</t>
  </si>
  <si>
    <t>QR.C19031.Table7.16</t>
  </si>
  <si>
    <t>116 Chemical engineering: If Total staff costs are greater than zero then there should be an Other operating expenses value.</t>
  </si>
  <si>
    <t>QR.C19031.Table7.17</t>
  </si>
  <si>
    <t>117 Mineral, metallurgy &amp; materials engineering: If Total staff costs are greater than zero then there should be an Other operating expenses value.</t>
  </si>
  <si>
    <t>QR.C19031.Table7.18</t>
  </si>
  <si>
    <t>118 Civil engineering: If Total staff costs are greater than zero then there should be an Other operating expenses value.</t>
  </si>
  <si>
    <t>QR.C19031.Table7.19</t>
  </si>
  <si>
    <t>119 Electrical, electronic &amp; computer engineering: If Total staff costs are greater than zero then there should be an Other operating expenses value.</t>
  </si>
  <si>
    <t>QR.C19031.Table7.20</t>
  </si>
  <si>
    <t>120 Mechanical, aero &amp; production engineering: If Total staff costs are greater than zero then there should be an Other operating expenses value.</t>
  </si>
  <si>
    <t>QR.C19031.Table7.21</t>
  </si>
  <si>
    <t>121 IT, systems sciences &amp; computer software engineering: If Total staff costs are greater than zero then there should be an Other operating expenses value.</t>
  </si>
  <si>
    <t>QR.C19031.Table7.22</t>
  </si>
  <si>
    <t>122 Mathematics: If Total staff costs are greater than zero then there should be an Other operating expenses value.</t>
  </si>
  <si>
    <t>QR.C19031.Table7.23</t>
  </si>
  <si>
    <t>123 Architecture, built environment &amp; planning: If Total staff costs are greater than zero then there should be an Other operating expenses value.</t>
  </si>
  <si>
    <t>QR.C19031.Table7.24</t>
  </si>
  <si>
    <t>124 Geography &amp; environmental studies: If Total staff costs are greater than zero then there should be an Other operating expenses value.</t>
  </si>
  <si>
    <t>QR.C19031.Table7.25</t>
  </si>
  <si>
    <t>125 Area studies: If Total staff costs are greater than zero then there should be an Other operating expenses value.</t>
  </si>
  <si>
    <t>QR.C19031.Table7.26</t>
  </si>
  <si>
    <t>126 Archaeology: If Total staff costs are greater than zero then there should be an Other operating expenses value.</t>
  </si>
  <si>
    <t>QR.C19031.Table7.27</t>
  </si>
  <si>
    <t>127 Anthropology &amp; development studies: If Total staff costs are greater than zero then there should be an Other operating expenses value.</t>
  </si>
  <si>
    <t>QR.C19031.Table7.28</t>
  </si>
  <si>
    <t>128 Politics &amp; international studies: If Total staff costs are greater than zero then there should be an Other operating expenses value.</t>
  </si>
  <si>
    <t>QR.C19031.Table7.29</t>
  </si>
  <si>
    <t>129 Economics &amp; econometrics: If Total staff costs are greater than zero then there should be an Other operating expenses value.</t>
  </si>
  <si>
    <t>QR.C19031.Table7.30</t>
  </si>
  <si>
    <t>130 Law: If Total staff costs are greater than zero then there should be an Other operating expenses value.</t>
  </si>
  <si>
    <t>QR.C19031.Table7.31</t>
  </si>
  <si>
    <t>131 Social work &amp; social policy: If Total staff costs are greater than zero then there should be an Other operating expenses value.</t>
  </si>
  <si>
    <t>QR.C19031.Table7.32</t>
  </si>
  <si>
    <t>132 Sociology: If Total staff costs are greater than zero then there should be an Other operating expenses value.</t>
  </si>
  <si>
    <t>QR.C19031.Table7.33</t>
  </si>
  <si>
    <t>133 Business &amp; management studies: If Total staff costs are greater than zero then there should be an Other operating expenses value.</t>
  </si>
  <si>
    <t>QR.C19031.Table7.34</t>
  </si>
  <si>
    <t>134 Catering &amp; hospitality management: If Total staff costs are greater than zero then there should be an Other operating expenses value.</t>
  </si>
  <si>
    <t>QR.C19031.Table7.35</t>
  </si>
  <si>
    <t>135 Education: If Total staff costs are greater than zero then there should be an Other operating expenses value.</t>
  </si>
  <si>
    <t>QR.C19031.Table7.36</t>
  </si>
  <si>
    <t>136 Continuing education: If Total staff costs are greater than zero then there should be an Other operating expenses value.</t>
  </si>
  <si>
    <t>QR.C19031.Table7.37</t>
  </si>
  <si>
    <t>137 Modern languages: If Total staff costs are greater than zero then there should be an Other operating expenses value.</t>
  </si>
  <si>
    <t>QR.C19031.Table7.38</t>
  </si>
  <si>
    <t>138 English language &amp; literature: If Total staff costs are greater than zero then there should be an Other operating expenses value.</t>
  </si>
  <si>
    <t>QR.C19031.Table7.39</t>
  </si>
  <si>
    <t>139 History: If Total staff costs are greater than zero then there should be an Other operating expenses value.</t>
  </si>
  <si>
    <t>QR.C19031.Table7.40</t>
  </si>
  <si>
    <t>140 Classics: If Total staff costs are greater than zero then there should be an Other operating expenses value.</t>
  </si>
  <si>
    <t>QR.C19031.Table7.41</t>
  </si>
  <si>
    <t>141 Philosophy: If Total staff costs are greater than zero then there should be an Other operating expenses value.</t>
  </si>
  <si>
    <t>QR.C19031.Table7.42</t>
  </si>
  <si>
    <t>142 Theology &amp; religious studies: If Total staff costs are greater than zero then there should be an Other operating expenses value.</t>
  </si>
  <si>
    <t>QR.C19031.Table7.43</t>
  </si>
  <si>
    <t>143 Art &amp; design: If Total staff costs are greater than zero then there should be an Other operating expenses value.</t>
  </si>
  <si>
    <t>QR.C19031.Table7.44</t>
  </si>
  <si>
    <t>144 Music, dance, drama &amp; performing arts: If Total staff costs are greater than zero then there should be an Other operating expenses value.</t>
  </si>
  <si>
    <t>QR.C19031.Table7.45</t>
  </si>
  <si>
    <t>145 Media studies: If Total staff costs are greater than zero then there should be an Other operating expenses value.</t>
  </si>
  <si>
    <t>QR.C19031.Table7.46</t>
  </si>
  <si>
    <t>A pension cost adjustment value for other operating expenses has been returned. Is this genuine?</t>
  </si>
  <si>
    <t>QR.C19031.Table7.47</t>
  </si>
  <si>
    <t>Other expenditure: Other is a substantial amount of the Total expenditure, please check what has been included here. Should it be allocated elsewhere?</t>
  </si>
  <si>
    <t>QR.C19031.Table7.53</t>
  </si>
  <si>
    <t>Total expenditure for Head 3bi National Bursaries + Head 3bii Provider specific bursaries and scholarships should not be zero.</t>
  </si>
  <si>
    <t>QR.C19031.Table7.70</t>
  </si>
  <si>
    <t>A value is expected to be returned for Head 3bii ‘203 General education expenditure, Provider specific (including departmental) bursaries and scholarships’.</t>
  </si>
  <si>
    <t>QR.C19031.Table8.1</t>
  </si>
  <si>
    <t>Total actual spend for Residences operations: Buildings should be greater than or equal to zero.</t>
  </si>
  <si>
    <t>QR.C19031.Table8.2</t>
  </si>
  <si>
    <t>Total actual spend for Residences operations: Equipment should be greater than or equal to zero.</t>
  </si>
  <si>
    <t>QR.C19031.Table8.3</t>
  </si>
  <si>
    <t>Total actual spend for Catering operations: Buildings should be greater than or equal to zero.</t>
  </si>
  <si>
    <t>QR.C19031.Table8.4</t>
  </si>
  <si>
    <t>Total actual spend for Catering operations: Equipment should be greater than or equal to zero.</t>
  </si>
  <si>
    <t>QR.C19031.Table8.5</t>
  </si>
  <si>
    <t>Total actual spend for Other operations: Buildings should be greater than or equal to zero.</t>
  </si>
  <si>
    <t>QR.C19031.Table8.6</t>
  </si>
  <si>
    <t>Total actual spend for Other operations: Equipment should be greater than or equal to zero.</t>
  </si>
  <si>
    <t>QR.C19031.Table8.7</t>
  </si>
  <si>
    <t>Total capital expenditure Total actual spend should be greater than or equal to zero.</t>
  </si>
  <si>
    <t>QR.C19031.Table8.8</t>
  </si>
  <si>
    <t>All monies must be entered rounded to the nearest £1,000 (entering more than £400,000 signifies wrong degree of accuracy).</t>
  </si>
  <si>
    <t>QR.C19031.Table8.9</t>
  </si>
  <si>
    <t>Residences Funding body grants value has been returned. Is this genuine?</t>
  </si>
  <si>
    <t>QR.C19031.Table8.10</t>
  </si>
  <si>
    <t>Catering Funding body grants value has been returned. Is this genuine?</t>
  </si>
  <si>
    <t>QR.C19031.Table8.12</t>
  </si>
  <si>
    <t>Total capital expenditure from Funding body grants is expected to contain a value because Capital grants recognised in the year - equipment/estates is identified in Table_6_Wales.</t>
  </si>
  <si>
    <t>QR.C19031.Table8.13</t>
  </si>
  <si>
    <t>Total capital expenditure from Funding body grants is expected to contain a value because Capital grants recognised in the year is identified in Table_6_Scotland.</t>
  </si>
  <si>
    <t>QR.C19031.Table8.14</t>
  </si>
  <si>
    <t>Total capital expenditure from Funding body grants is expected to contain a value because Capital grants recognised in the year is identified in Table_6_N_Ireland.</t>
  </si>
  <si>
    <t>QR.C19031.Table8.15</t>
  </si>
  <si>
    <t>Total capital expenditure from Loans is expected to contain a value because Cash flows from financing activities - New secured loans and New unsecured loans is identified under cash flow in Table_3_UK.</t>
  </si>
  <si>
    <t>QR.C19031.Table9.1</t>
  </si>
  <si>
    <t>Please complete the description for all items disclosed (current year).</t>
  </si>
  <si>
    <t>QR.C19031.Table9.2</t>
  </si>
  <si>
    <t xml:space="preserve">The disclosed item description (column K) must be blank if a value is not entered in column H (current year). </t>
  </si>
  <si>
    <t>QR.C19031.Table9.3</t>
  </si>
  <si>
    <t>Please complete the description for all items disclosed (restated year).</t>
  </si>
  <si>
    <t>QR.C19031.Table9.4</t>
  </si>
  <si>
    <t xml:space="preserve">The disclosed item description (column L) must be blank if a value is not entered in column I (restated year). </t>
  </si>
  <si>
    <t>QR.C19031.Table9.5</t>
  </si>
  <si>
    <t>There is a difference of values between the restated figures on Table 9.</t>
  </si>
  <si>
    <t>QR.C19031.Table10.1</t>
  </si>
  <si>
    <t>If Total remuneration is greater than zero then there should be a start date for the associated Head of provider.</t>
  </si>
  <si>
    <t>QR.C19031.Table10.2</t>
  </si>
  <si>
    <t>If Total remuneration is greater than zero for a previous Head of provider then there should also be an end date.</t>
  </si>
  <si>
    <t>QR.C19031.Table10.3</t>
  </si>
  <si>
    <t>Current head of provider's end data should be blank unless greater than or equal to 31 July 2020.</t>
  </si>
  <si>
    <t>QR.C19031.Table10.4</t>
  </si>
  <si>
    <t>Current head of provider's salary should be greater than zero.</t>
  </si>
  <si>
    <t>QR.C19031.Table10.5</t>
  </si>
  <si>
    <t>If a head of provider's start date is after 31 July 2019 then Total remuneration for year ended 31 July 2019 should be zero.</t>
  </si>
  <si>
    <t>QR.C19031.Table10.6</t>
  </si>
  <si>
    <t>If a previous heads of provider's end date is before 31 July 2019 then Total remuneration for year ended 31 July 2020 should be zero.</t>
  </si>
  <si>
    <t>QR.C19031.Table10.7</t>
  </si>
  <si>
    <t>If it has been confirmed that university accommodation has been given a nil taxable value then there should be a value given for Living accommodation.</t>
  </si>
  <si>
    <t>QR.C19031.Table10.8</t>
  </si>
  <si>
    <t>Head of provider's basic salary divided by the median pay (salary) should not be zero (current head of provider).</t>
  </si>
  <si>
    <t>QR.C19031.Table10.9</t>
  </si>
  <si>
    <t>Head of provider's total remuneration divided by the median total remuneration should not be zero (current head of provider).</t>
  </si>
  <si>
    <t>QR.C19031.Table10.10</t>
  </si>
  <si>
    <t>Other taxable benefits: items must be specified in the text box if a value is entered.</t>
  </si>
  <si>
    <t>QR.C19031.Table10.11</t>
  </si>
  <si>
    <t>Other non-taxable benefits: items must be specified in the text box if a value is entered.</t>
  </si>
  <si>
    <t>QR.C19031.Table10.12</t>
  </si>
  <si>
    <t>Other remuneration: items must be specified in the text box if a value is entered.</t>
  </si>
  <si>
    <t>QR.C19031.Table10.14</t>
  </si>
  <si>
    <t>Head of provider's basic salary divided by the median pay (salary) should not be zero if Total Remuneration is greater than zero.</t>
  </si>
  <si>
    <t>QR.C19031.Table10.15</t>
  </si>
  <si>
    <t>Head of provider's total remuneration divided by the median total remuneration should not be zero if Total Remuneration is greater than zero.</t>
  </si>
  <si>
    <t>QR.C19031.Table11.6</t>
  </si>
  <si>
    <t>If provider is in Scotland then Total (Headcount) should be zero.</t>
  </si>
  <si>
    <t>QR.C19031.Table12.1</t>
  </si>
  <si>
    <t>Compensation for loss of office to the head of provider should be equal to Table_10_UK Compensation for loss of office.</t>
  </si>
  <si>
    <t>QR.C19031.Table12.2</t>
  </si>
  <si>
    <t>For the Year ended 31 July 2019, Compensation for loss of office to the head of provider should be equal to Table_10_UK Compensation for loss of office.</t>
  </si>
  <si>
    <t>QR.C19031.Table12.3</t>
  </si>
  <si>
    <t>Table_12_UK should not contain all zeros (current year).</t>
  </si>
  <si>
    <t>QR.C19031.Table12.4</t>
  </si>
  <si>
    <t>Loss of office at the provider: Total amount of compensation paid across the whole provider should be greater than zero.</t>
  </si>
  <si>
    <t>QR.C19031.Table12.7</t>
  </si>
  <si>
    <t>Where there is a value entered for Where the compensation includes benefits other than cash: estimated money value, then the nature of the benefit should be specified in the text box.</t>
  </si>
  <si>
    <t>QR.C19031.Table12.8</t>
  </si>
  <si>
    <t>Table_12_UK should not contain all zeros (restated year).</t>
  </si>
  <si>
    <t>QR.C19031.Table12.9</t>
  </si>
  <si>
    <t>Table_12_UK should contain all zeros if a nil return equals 'Yes' (current year).</t>
  </si>
  <si>
    <t>QR.C19031.Table12.10</t>
  </si>
  <si>
    <t>Table_12_UK should contain all zeros if a nil return equals 'Yes' (restated year).</t>
  </si>
  <si>
    <t>Table 1:</t>
  </si>
  <si>
    <t>Consolidated statement of comprehensive income and expenditure</t>
  </si>
  <si>
    <t>Last years figures have been populated below.</t>
  </si>
  <si>
    <t>Please restate any figures as required.</t>
  </si>
  <si>
    <t>These are not editable.</t>
  </si>
  <si>
    <t>Variance calculations</t>
  </si>
  <si>
    <t>Restated values</t>
  </si>
  <si>
    <t>This column will highlight below where there is a difference &gt;750k and a ratio &gt;2</t>
  </si>
  <si>
    <t>calculations</t>
  </si>
  <si>
    <t>Outstanding Queries</t>
  </si>
  <si>
    <t>£000s</t>
  </si>
  <si>
    <t>Ratio</t>
  </si>
  <si>
    <t>Please select explanations for any significant variance from the drop down list below:</t>
  </si>
  <si>
    <t>hide these columns</t>
  </si>
  <si>
    <t>Income</t>
  </si>
  <si>
    <t>Explanation</t>
  </si>
  <si>
    <t>1a</t>
  </si>
  <si>
    <t>Tuition fees and education contracts</t>
  </si>
  <si>
    <t>1b</t>
  </si>
  <si>
    <t>Funding body grants</t>
  </si>
  <si>
    <t>1c</t>
  </si>
  <si>
    <t>Research grants and contracts</t>
  </si>
  <si>
    <t>1d</t>
  </si>
  <si>
    <t>Other income</t>
  </si>
  <si>
    <t>1e</t>
  </si>
  <si>
    <t>Investment income</t>
  </si>
  <si>
    <t>1f</t>
  </si>
  <si>
    <t>Donations and endowments</t>
  </si>
  <si>
    <t>1g</t>
  </si>
  <si>
    <t>Total income</t>
  </si>
  <si>
    <t>Expenditure</t>
  </si>
  <si>
    <t>2a</t>
  </si>
  <si>
    <t>Staff costs</t>
  </si>
  <si>
    <t>2b</t>
  </si>
  <si>
    <t>Restructuring costs</t>
  </si>
  <si>
    <t>2c</t>
  </si>
  <si>
    <t>Other operating expenses</t>
  </si>
  <si>
    <t>2d</t>
  </si>
  <si>
    <t>Depreciation and amortisation</t>
  </si>
  <si>
    <t>2e</t>
  </si>
  <si>
    <t>Interest and other finance costs</t>
  </si>
  <si>
    <t>2f</t>
  </si>
  <si>
    <t>Total expenditure</t>
  </si>
  <si>
    <t>Surplus/(deficit) before other gains/losses and share of surplus/(deficit) in joint ventures and associates</t>
  </si>
  <si>
    <t>Gain/(loss) on disposal of tangible assets</t>
  </si>
  <si>
    <t>Gain/(loss) on investment property</t>
  </si>
  <si>
    <t>Gain/(loss) on investments</t>
  </si>
  <si>
    <t>Share of operating surplus/(deficit) in joint venture(s)</t>
  </si>
  <si>
    <t>Share of operating surplus/(deficit) in associate(s)</t>
  </si>
  <si>
    <t>Surplus/(deficit) before tax</t>
  </si>
  <si>
    <t>Taxation</t>
  </si>
  <si>
    <t>Surplus/(deficit) for the year</t>
  </si>
  <si>
    <t xml:space="preserve">Unrealised surplus on revaluation of land and buildings </t>
  </si>
  <si>
    <t>Actuarial gain/(loss) in respect of pension schemes</t>
  </si>
  <si>
    <t>Change in fair value of hedging financial instrument(s) plus foreign currency translation</t>
  </si>
  <si>
    <t>Where 15 'Miscellaneous types of Other comprehensive income' has been completed, please detail below what items are included in this:</t>
  </si>
  <si>
    <t>Miscellaneous types of other comprehensive income</t>
  </si>
  <si>
    <t xml:space="preserve">Total comprehensive income for the year </t>
  </si>
  <si>
    <t>Total comprehensive income for the year represented by:</t>
  </si>
  <si>
    <t>17a</t>
  </si>
  <si>
    <t>Endowment comprehensive income for the year</t>
  </si>
  <si>
    <t>17b</t>
  </si>
  <si>
    <t>Restricted comprehensive income for the year</t>
  </si>
  <si>
    <t>17c</t>
  </si>
  <si>
    <t xml:space="preserve">Unrestricted comprehensive income for the year </t>
  </si>
  <si>
    <t>17d</t>
  </si>
  <si>
    <t xml:space="preserve">Revaluation reserve comprehensive income for the year </t>
  </si>
  <si>
    <t>17e</t>
  </si>
  <si>
    <t>Attributable to the University</t>
  </si>
  <si>
    <t>17f</t>
  </si>
  <si>
    <t>Attributable to the non-controlling interest</t>
  </si>
  <si>
    <t>17g</t>
  </si>
  <si>
    <t>Total</t>
  </si>
  <si>
    <t>Surplus for the year attributable to:</t>
  </si>
  <si>
    <t>18a</t>
  </si>
  <si>
    <t>Non-controlling interest</t>
  </si>
  <si>
    <t>18b</t>
  </si>
  <si>
    <t>University</t>
  </si>
  <si>
    <t>Where 19 has been completed, please detail below what items are included in this:</t>
  </si>
  <si>
    <t>Please indicate whether any material items have been disclosed separately on the face of the Statement of Consolidated Income in your financial statements: (Yes/No)</t>
  </si>
  <si>
    <t>All items of income and expenditure relate to continuing activities</t>
  </si>
  <si>
    <t>Table 2:</t>
  </si>
  <si>
    <t>Consolidated statement of financial position</t>
  </si>
  <si>
    <t>Outstanding queries</t>
  </si>
  <si>
    <t>Non-current assets</t>
  </si>
  <si>
    <t>Intangible assets</t>
  </si>
  <si>
    <t>Goodwill</t>
  </si>
  <si>
    <t>Negative goodwill</t>
  </si>
  <si>
    <t>Net amount of goodwill and negative goodwill</t>
  </si>
  <si>
    <t xml:space="preserve">Tangible assets </t>
  </si>
  <si>
    <t>Heritage assets</t>
  </si>
  <si>
    <t>Investments</t>
  </si>
  <si>
    <t>1h</t>
  </si>
  <si>
    <t>Investment in subsidiaries</t>
  </si>
  <si>
    <t>Investment in joint venture(s)</t>
  </si>
  <si>
    <t>Investments in associate(s)</t>
  </si>
  <si>
    <t>1k</t>
  </si>
  <si>
    <t>Total non-current assets</t>
  </si>
  <si>
    <t>Current assets</t>
  </si>
  <si>
    <t>Stock</t>
  </si>
  <si>
    <t>Trade and other receivables (excluding loans to directors)</t>
  </si>
  <si>
    <t xml:space="preserve">Cash and cash equivalents </t>
  </si>
  <si>
    <t>Loans to directors</t>
  </si>
  <si>
    <t>Accrued course fees</t>
  </si>
  <si>
    <t>2g</t>
  </si>
  <si>
    <t>Other (e.g. assets for resale)</t>
  </si>
  <si>
    <t>2h</t>
  </si>
  <si>
    <t>Total current assets</t>
  </si>
  <si>
    <t>Creditors - amounts falling due within one year</t>
  </si>
  <si>
    <t>3a</t>
  </si>
  <si>
    <t xml:space="preserve">Bank overdrafts </t>
  </si>
  <si>
    <t>3b</t>
  </si>
  <si>
    <t>Bank loans and external borrowing</t>
  </si>
  <si>
    <t>3c</t>
  </si>
  <si>
    <t>Obligations under finance leases and service concessions</t>
  </si>
  <si>
    <t>3d</t>
  </si>
  <si>
    <t>Deferred course fees</t>
  </si>
  <si>
    <t>3e</t>
  </si>
  <si>
    <t>Tax and social security costs</t>
  </si>
  <si>
    <t>3f</t>
  </si>
  <si>
    <t>Loans repayable to funding council (including financial transactions)</t>
  </si>
  <si>
    <t>3g</t>
  </si>
  <si>
    <t>Loans from directors</t>
  </si>
  <si>
    <t>3h</t>
  </si>
  <si>
    <t>Other (including grant claw back)</t>
  </si>
  <si>
    <t>3i</t>
  </si>
  <si>
    <t>Total creditors (amounts falling due within one year)</t>
  </si>
  <si>
    <t>Share of net current assets/(liabilities) in associate</t>
  </si>
  <si>
    <t>Net current assets/(liabilities)</t>
  </si>
  <si>
    <t>Total assets less current liabilities</t>
  </si>
  <si>
    <t>Creditors: amounts falling due after more than one year</t>
  </si>
  <si>
    <t>7a</t>
  </si>
  <si>
    <t>7b</t>
  </si>
  <si>
    <t>7c</t>
  </si>
  <si>
    <t>7d</t>
  </si>
  <si>
    <t>7e</t>
  </si>
  <si>
    <t>7f</t>
  </si>
  <si>
    <t>Total creditors (amounts falling due after more than one year)</t>
  </si>
  <si>
    <t>Provisions</t>
  </si>
  <si>
    <t>8a</t>
  </si>
  <si>
    <t>Pension provisions</t>
  </si>
  <si>
    <t>8b</t>
  </si>
  <si>
    <t>Other provisions</t>
  </si>
  <si>
    <t>8c</t>
  </si>
  <si>
    <t>Total provisions</t>
  </si>
  <si>
    <t>Total net assets/(liabilities)</t>
  </si>
  <si>
    <t>Restricted reserves</t>
  </si>
  <si>
    <t>10a</t>
  </si>
  <si>
    <t>Income and expenditure reserve - endowment reserve</t>
  </si>
  <si>
    <t>10b</t>
  </si>
  <si>
    <t>Income and expenditure reserve - restricted reserve</t>
  </si>
  <si>
    <t>Unrestricted reserves</t>
  </si>
  <si>
    <t>11a</t>
  </si>
  <si>
    <t xml:space="preserve">Income and expenditure reserve - unrestricted </t>
  </si>
  <si>
    <t>11b</t>
  </si>
  <si>
    <t>Revaluation reserve</t>
  </si>
  <si>
    <t>Total restricted and unrestricted reserves</t>
  </si>
  <si>
    <t>Total reserves</t>
  </si>
  <si>
    <t>Share capital (including share premium)</t>
  </si>
  <si>
    <t>Table 2_S:</t>
  </si>
  <si>
    <t>Consolidated statement of financial position - Scotland</t>
  </si>
  <si>
    <t>Funds, from disposal of fixed assets, held for future fixed asset acquisitions</t>
  </si>
  <si>
    <t>Funds held for third parties</t>
  </si>
  <si>
    <t>Student support funds</t>
  </si>
  <si>
    <t>Other restricted funds</t>
  </si>
  <si>
    <t>Unrestricted funds</t>
  </si>
  <si>
    <t>Total investments</t>
  </si>
  <si>
    <t>Unrestricted cash</t>
  </si>
  <si>
    <t>Total cash and cash equivalents</t>
  </si>
  <si>
    <t>Additional information collection for Scottish providers (memorandum only) :</t>
  </si>
  <si>
    <t>UK government COVID-19 loan support</t>
  </si>
  <si>
    <t>4a</t>
  </si>
  <si>
    <t>Table 3:</t>
  </si>
  <si>
    <t>Consolidated statement of cash flows</t>
  </si>
  <si>
    <t>Cash flow from operating activities</t>
  </si>
  <si>
    <t>Surplus for the year before tax</t>
  </si>
  <si>
    <t>Adjustment for non-cash items</t>
  </si>
  <si>
    <t>Depreciation</t>
  </si>
  <si>
    <t>Amortisation of intangibles</t>
  </si>
  <si>
    <t xml:space="preserve">Release of negative goodwill from asset acquisition </t>
  </si>
  <si>
    <t>Amortisation of goodwill</t>
  </si>
  <si>
    <t>Loss/(gain) on investments and investment property</t>
  </si>
  <si>
    <t>Decrease/(increase) in stock</t>
  </si>
  <si>
    <t>Decrease/(increase) in debtors</t>
  </si>
  <si>
    <t>Increase/(decrease) in creditors</t>
  </si>
  <si>
    <t>2i</t>
  </si>
  <si>
    <t>Increase/(decrease) in pension provisions</t>
  </si>
  <si>
    <t>2j</t>
  </si>
  <si>
    <t>Increase/(decrease) in other provisions</t>
  </si>
  <si>
    <t>2k</t>
  </si>
  <si>
    <t>Receipt of donated equipment</t>
  </si>
  <si>
    <t>2l</t>
  </si>
  <si>
    <t>Share of operating surplus/(deficit) in joint venture</t>
  </si>
  <si>
    <t>2m</t>
  </si>
  <si>
    <t>Share of operating surplus/(deficit) in associate</t>
  </si>
  <si>
    <t>Where 2n 'Other' has been completed, please detail below what items are included in this:</t>
  </si>
  <si>
    <t>2n</t>
  </si>
  <si>
    <t>Impairment</t>
  </si>
  <si>
    <t>Adjustment for investing or financing activities</t>
  </si>
  <si>
    <t>Interest payable</t>
  </si>
  <si>
    <t>Endowment income</t>
  </si>
  <si>
    <t>Loss/(gain) on the sale of tangible and intangible assets</t>
  </si>
  <si>
    <t>Capital grant income</t>
  </si>
  <si>
    <t>Cash flows from operating activities before tax</t>
  </si>
  <si>
    <t>Taxation paid</t>
  </si>
  <si>
    <t>Net cash inflow from operating activities</t>
  </si>
  <si>
    <t>Cash flows from investing activities</t>
  </si>
  <si>
    <t>Proceeds from sales of tangible assets</t>
  </si>
  <si>
    <t>Proceeds from sales of intangible assets</t>
  </si>
  <si>
    <t>Capital grants receipts</t>
  </si>
  <si>
    <t>Non-current asset investment disposal</t>
  </si>
  <si>
    <t>Withdrawal of deposits</t>
  </si>
  <si>
    <t>7g</t>
  </si>
  <si>
    <t>Payments made to acquire tangible assets</t>
  </si>
  <si>
    <t>7h</t>
  </si>
  <si>
    <t>Payments made to acquire intangible assets</t>
  </si>
  <si>
    <t>7i</t>
  </si>
  <si>
    <t>Non-current investment acquisitions</t>
  </si>
  <si>
    <t>7j</t>
  </si>
  <si>
    <t>New deposits</t>
  </si>
  <si>
    <t>Where 7k 'Other' has been completed, please detail below what items are included in this:</t>
  </si>
  <si>
    <t>7k</t>
  </si>
  <si>
    <t>£30m increase in non-current investment sale proceeds &amp; £1m lump sum EUSBS pension contribution</t>
  </si>
  <si>
    <t>7l</t>
  </si>
  <si>
    <t>Total cash flows from investing activities</t>
  </si>
  <si>
    <t>Cash flows from financing activities</t>
  </si>
  <si>
    <t>Interest paid</t>
  </si>
  <si>
    <t>Interest element of finance lease and service concession payments</t>
  </si>
  <si>
    <t>New endowments received</t>
  </si>
  <si>
    <t>8d</t>
  </si>
  <si>
    <t>Endowment payments</t>
  </si>
  <si>
    <t>8e</t>
  </si>
  <si>
    <t>New secured loans</t>
  </si>
  <si>
    <t>8f</t>
  </si>
  <si>
    <t>New unsecured loans</t>
  </si>
  <si>
    <t>8g</t>
  </si>
  <si>
    <t>Repayments of amounts borrowed</t>
  </si>
  <si>
    <t>8h</t>
  </si>
  <si>
    <t>Capital element of finance lease and service concession payments</t>
  </si>
  <si>
    <t>8i</t>
  </si>
  <si>
    <t>Dividends paid</t>
  </si>
  <si>
    <t>Where 8j 'Other' has been completed, please detail below what items are included in this:</t>
  </si>
  <si>
    <t>8j</t>
  </si>
  <si>
    <t>8k</t>
  </si>
  <si>
    <t>Total cash flows from financing activities</t>
  </si>
  <si>
    <t>(Decrease)/Increase in cash and cash equivalents in the year</t>
  </si>
  <si>
    <t>Cash and cash equivalents at beginning of the year</t>
  </si>
  <si>
    <t>Exchange gains/(losses) on cash and cash equivalents</t>
  </si>
  <si>
    <t>Scotland. New Head (Check implementation is correct)</t>
  </si>
  <si>
    <t>Cash and cash equivalents at the end of the year</t>
  </si>
  <si>
    <t>Table 4:</t>
  </si>
  <si>
    <t>Research grants and contracts - breakdown by source of income and HESA cost centre</t>
  </si>
  <si>
    <t>1 - Department for Business, Energy and Industrial Strategy Research Councils, The Royal Society, British Academy and The Royal Society of Edinburgh</t>
  </si>
  <si>
    <t>Biotechnology and Biological Sciences Research Council</t>
  </si>
  <si>
    <t>Medical Research Council</t>
  </si>
  <si>
    <t>Natural Environment Research Council</t>
  </si>
  <si>
    <t>Engineering and Physical Sciences Research Council</t>
  </si>
  <si>
    <t>Economic and Social Research Council</t>
  </si>
  <si>
    <t>Arts and Humanities Research Council</t>
  </si>
  <si>
    <t>Science and Technology Facilities Council</t>
  </si>
  <si>
    <t>UK Research and Innovation</t>
  </si>
  <si>
    <t>Total Research Councils</t>
  </si>
  <si>
    <t>UK-based charities (open competitive process)</t>
  </si>
  <si>
    <t>UK-based charities (other)</t>
  </si>
  <si>
    <t>UK central government bodies/local authorities, health and hospital authorities</t>
  </si>
  <si>
    <t>UK central government tax credits for research and development expenditure</t>
  </si>
  <si>
    <t>UK industry, commerce and public corporations</t>
  </si>
  <si>
    <t>UK other sources</t>
  </si>
  <si>
    <t>EU government bodies</t>
  </si>
  <si>
    <t>EU-based charities (open competitive process)</t>
  </si>
  <si>
    <t>EU industry, commerce and public corporations</t>
  </si>
  <si>
    <t>EU (excluding UK) other</t>
  </si>
  <si>
    <t>Non-EU-based charities (open competitive process)</t>
  </si>
  <si>
    <t>Non-EU industry, commerce and public corporations</t>
  </si>
  <si>
    <t>Non-EU other</t>
  </si>
  <si>
    <t>Academic departments</t>
  </si>
  <si>
    <t>101 Clinical medicine</t>
  </si>
  <si>
    <t>102 Clinical dentistry</t>
  </si>
  <si>
    <t>103 Nursing &amp; allied health professions</t>
  </si>
  <si>
    <t>104 Psychology &amp; behavioural sciences</t>
  </si>
  <si>
    <t>105 Health &amp; community studies</t>
  </si>
  <si>
    <t>106 Anatomy &amp; physiology</t>
  </si>
  <si>
    <t>107 Pharmacy &amp; pharmacology</t>
  </si>
  <si>
    <t>108 Sports science &amp; leisure studies</t>
  </si>
  <si>
    <t>109 Veterinary science</t>
  </si>
  <si>
    <t>110 Agriculture, forestry &amp; food science</t>
  </si>
  <si>
    <t>111 Earth, marine &amp; environmental sciences</t>
  </si>
  <si>
    <t>1l</t>
  </si>
  <si>
    <t>112 Biosciences</t>
  </si>
  <si>
    <t>1m</t>
  </si>
  <si>
    <t>113 Chemistry</t>
  </si>
  <si>
    <t>1n</t>
  </si>
  <si>
    <t>114 Physics</t>
  </si>
  <si>
    <t>1o</t>
  </si>
  <si>
    <t>115 General engineering</t>
  </si>
  <si>
    <t>1p</t>
  </si>
  <si>
    <t>116 Chemical engineering</t>
  </si>
  <si>
    <t>1q</t>
  </si>
  <si>
    <t>117 Mineral, metallurgy &amp; materials engineering</t>
  </si>
  <si>
    <t>1r</t>
  </si>
  <si>
    <t>118 Civil engineering</t>
  </si>
  <si>
    <t>1s</t>
  </si>
  <si>
    <t>119 Electrical, electronic &amp; computer engineering</t>
  </si>
  <si>
    <t>1t</t>
  </si>
  <si>
    <t>120 Mechanical, aero &amp; production engineering</t>
  </si>
  <si>
    <t>1u</t>
  </si>
  <si>
    <t>121 IT, systems sciences &amp; computer software engineering</t>
  </si>
  <si>
    <t>1v</t>
  </si>
  <si>
    <t>122 Mathematics</t>
  </si>
  <si>
    <t>1w</t>
  </si>
  <si>
    <t>123 Architecture, built environment &amp; planning</t>
  </si>
  <si>
    <t>1x</t>
  </si>
  <si>
    <t>124 Geography &amp; environmental studies</t>
  </si>
  <si>
    <t>1y</t>
  </si>
  <si>
    <t>125 Area studies</t>
  </si>
  <si>
    <t>1z</t>
  </si>
  <si>
    <t>126 Archaeology</t>
  </si>
  <si>
    <t>1aa</t>
  </si>
  <si>
    <t>127 Anthropology &amp; development studies</t>
  </si>
  <si>
    <t>1ab</t>
  </si>
  <si>
    <t>128 Politics &amp; international studies</t>
  </si>
  <si>
    <t>1ac</t>
  </si>
  <si>
    <t>129 Economics &amp; econometrics</t>
  </si>
  <si>
    <t>1ad</t>
  </si>
  <si>
    <t>130 Law</t>
  </si>
  <si>
    <t>1ae</t>
  </si>
  <si>
    <t>131 Social work &amp; social policy</t>
  </si>
  <si>
    <t>1af</t>
  </si>
  <si>
    <t>132 Sociology</t>
  </si>
  <si>
    <t>1ag</t>
  </si>
  <si>
    <t>133 Business &amp; management studies</t>
  </si>
  <si>
    <t>1ah</t>
  </si>
  <si>
    <t>134 Catering &amp; hospitality management</t>
  </si>
  <si>
    <t>1ai</t>
  </si>
  <si>
    <t>135 Education</t>
  </si>
  <si>
    <t>1aj</t>
  </si>
  <si>
    <t>136 Continuing education</t>
  </si>
  <si>
    <t>1ak</t>
  </si>
  <si>
    <t>137 Modern languages</t>
  </si>
  <si>
    <t>1al</t>
  </si>
  <si>
    <t>138 English language &amp; literature</t>
  </si>
  <si>
    <t>1am</t>
  </si>
  <si>
    <t>139 History</t>
  </si>
  <si>
    <t>1an</t>
  </si>
  <si>
    <t>140 Classics</t>
  </si>
  <si>
    <t>1ao</t>
  </si>
  <si>
    <t>141 Philosophy</t>
  </si>
  <si>
    <t>1ap</t>
  </si>
  <si>
    <t>142 Theology &amp; religious studies</t>
  </si>
  <si>
    <t>1aq</t>
  </si>
  <si>
    <t>143 Art &amp; design</t>
  </si>
  <si>
    <t>1ar</t>
  </si>
  <si>
    <t>144 Music, dance, drama &amp; performing arts</t>
  </si>
  <si>
    <t>1as</t>
  </si>
  <si>
    <t>145 Media studies</t>
  </si>
  <si>
    <t>1at</t>
  </si>
  <si>
    <t>Total academic departments</t>
  </si>
  <si>
    <t>201 Total academic services</t>
  </si>
  <si>
    <t>Administration &amp; central services</t>
  </si>
  <si>
    <t>202 Central administration &amp; services</t>
  </si>
  <si>
    <t>203 General educational expenditure</t>
  </si>
  <si>
    <t>204 Staff &amp; student facilities</t>
  </si>
  <si>
    <t>Total administration &amp; central services</t>
  </si>
  <si>
    <t>207 Total research grants and contracts</t>
  </si>
  <si>
    <t>Co-investment from external sources on funding council-funded projects (included in Heads 1 to 4 above)</t>
  </si>
  <si>
    <t>Research income-in-kind (included in Heads 1 to 4 above)</t>
  </si>
  <si>
    <t>Table 5:</t>
  </si>
  <si>
    <t>Tuition fees and education contracts analysed by domicile, mode, level and source</t>
  </si>
  <si>
    <t xml:space="preserve">
Please restate any figures as required.</t>
  </si>
  <si>
    <t>Source of fee</t>
  </si>
  <si>
    <t>Student Loans Company / Local Education Authorities / Student Awards Agency Scotland / Department for the Economy (NI)</t>
  </si>
  <si>
    <t>Department of Health and Social Care / Local Education and Training Board / Scottish Health Directorate/ Health Education and Improvement Wales</t>
  </si>
  <si>
    <t>SLC/LEAs/ SAAS/DfE(NI)</t>
  </si>
  <si>
    <t>DH/LETB/Scottish Health Directorate/WEDS</t>
  </si>
  <si>
    <t>This column will highlight below where there is a difference in the Total&gt;750k and a ratio &gt;2</t>
  </si>
  <si>
    <t>HE course fees</t>
  </si>
  <si>
    <t>(25 maximum)</t>
  </si>
  <si>
    <t>i</t>
  </si>
  <si>
    <t>Full-time undergraduate</t>
  </si>
  <si>
    <t>ii</t>
  </si>
  <si>
    <t>Full-time PGCE</t>
  </si>
  <si>
    <t>iii</t>
  </si>
  <si>
    <t>Full-time postgraduate taught (excl. PGCE)</t>
  </si>
  <si>
    <t>iv</t>
  </si>
  <si>
    <t>Full-time postgraduate research</t>
  </si>
  <si>
    <t>v</t>
  </si>
  <si>
    <t>Part-time undergraduate</t>
  </si>
  <si>
    <t>vi</t>
  </si>
  <si>
    <t>Part-time postgraduate taught</t>
  </si>
  <si>
    <t>vii</t>
  </si>
  <si>
    <t>Part-time postgraduate research</t>
  </si>
  <si>
    <t>viii</t>
  </si>
  <si>
    <t>Total Home fees</t>
  </si>
  <si>
    <t>Total Rest of UK fees</t>
  </si>
  <si>
    <t>UK domicile students</t>
  </si>
  <si>
    <t>Total UK fees</t>
  </si>
  <si>
    <t>Other EU domicile students</t>
  </si>
  <si>
    <t>Total Other EU fees</t>
  </si>
  <si>
    <t>Total UK and EU fees</t>
  </si>
  <si>
    <t>Non-EU domicile students</t>
  </si>
  <si>
    <t>//////////</t>
  </si>
  <si>
    <t>Total Non-EU fees</t>
  </si>
  <si>
    <t>Total HE course fees</t>
  </si>
  <si>
    <t>Non-credit bearing course fees</t>
  </si>
  <si>
    <t>FE course fees</t>
  </si>
  <si>
    <t>Research training support grants</t>
  </si>
  <si>
    <t>Income for general research studentships from charities (open competitive process)</t>
  </si>
  <si>
    <t>4b</t>
  </si>
  <si>
    <t>Other research training support grants</t>
  </si>
  <si>
    <t>4c</t>
  </si>
  <si>
    <t>Total research training support grants</t>
  </si>
  <si>
    <t>Total tuition fees and education contracts</t>
  </si>
  <si>
    <t>6a</t>
  </si>
  <si>
    <t>Transnational education in EU included in the above</t>
  </si>
  <si>
    <t>6b</t>
  </si>
  <si>
    <t>Transnational education overseas included in the above</t>
  </si>
  <si>
    <t>Table 6:</t>
  </si>
  <si>
    <t>Income analysed by source</t>
  </si>
  <si>
    <t>BEIS Research Councils, The Royal Society, British Academy and The Royal Society of Edinburgh</t>
  </si>
  <si>
    <t>Biotechnology and Biological Sciences Research Council (BBSRC)</t>
  </si>
  <si>
    <t>Medical Research Council (MRC)</t>
  </si>
  <si>
    <t>Natural Environment Research Council (NERC)</t>
  </si>
  <si>
    <t>Engineering and Physical Sciences Research Council (EPSRC)</t>
  </si>
  <si>
    <t>Economic and Social Research Council (ESRC)</t>
  </si>
  <si>
    <t>Arts and Humanities Research Council (AHRC)</t>
  </si>
  <si>
    <t>Science and Technology Facilities Council (STFC)</t>
  </si>
  <si>
    <t>UK Research and Innovation (UKRI)</t>
  </si>
  <si>
    <t>ix</t>
  </si>
  <si>
    <t>x</t>
  </si>
  <si>
    <t xml:space="preserve">Total BEIS Research Councils, The Royal Society, British Academy and The Royal Society of Edinburgh </t>
  </si>
  <si>
    <t>Total UK sources</t>
  </si>
  <si>
    <t>3j</t>
  </si>
  <si>
    <t>3k</t>
  </si>
  <si>
    <t>3l</t>
  </si>
  <si>
    <t>3m</t>
  </si>
  <si>
    <t>Total EU sources (excluding UK)</t>
  </si>
  <si>
    <t>3n</t>
  </si>
  <si>
    <t>3o</t>
  </si>
  <si>
    <t>3p</t>
  </si>
  <si>
    <t>3q</t>
  </si>
  <si>
    <t>Total non-EU sources</t>
  </si>
  <si>
    <t>3r</t>
  </si>
  <si>
    <t>Total research grants and contracts</t>
  </si>
  <si>
    <t>Other services rendered</t>
  </si>
  <si>
    <t>UK public sources (BEIS Research Councils, UK central government/local authorities, health and hospital authorities)</t>
  </si>
  <si>
    <t>EU sources</t>
  </si>
  <si>
    <t>Total other services rendered</t>
  </si>
  <si>
    <t xml:space="preserve">Residences, conferences and catering operations </t>
  </si>
  <si>
    <t>Residences operations</t>
  </si>
  <si>
    <t>Catering and Conference operations</t>
  </si>
  <si>
    <t>Total residences and catering operations (including conferences)</t>
  </si>
  <si>
    <t>Grants from local authorities</t>
  </si>
  <si>
    <t>4d</t>
  </si>
  <si>
    <t>Income from health and hospital authorities (excluding teaching contracts for student provision)</t>
  </si>
  <si>
    <t>4e</t>
  </si>
  <si>
    <t>Other EU grant income</t>
  </si>
  <si>
    <t>4f</t>
  </si>
  <si>
    <t>Capital grants recognised in the year</t>
  </si>
  <si>
    <t>4g</t>
  </si>
  <si>
    <t>Income from intellectual property rights</t>
  </si>
  <si>
    <t>4h</t>
  </si>
  <si>
    <t>Other operating income</t>
  </si>
  <si>
    <t>4i</t>
  </si>
  <si>
    <t>Total other income</t>
  </si>
  <si>
    <t>Total income before donations and endowments</t>
  </si>
  <si>
    <t>New endowments</t>
  </si>
  <si>
    <t>Donations with restrictions</t>
  </si>
  <si>
    <t>Unrestricted donations</t>
  </si>
  <si>
    <t>Total donations and endowments</t>
  </si>
  <si>
    <t>Table 6_W:</t>
  </si>
  <si>
    <t>Funding body grants - Wales</t>
  </si>
  <si>
    <t>Providers in Wales only:</t>
  </si>
  <si>
    <t>Teaching grant - full-time UG provision (including PGCE and premia and per capita funding)</t>
  </si>
  <si>
    <t>Teaching grant - full-time PG provision (including premia and per capita funding)</t>
  </si>
  <si>
    <t>Teaching grant - part-time UG provision (including premia and per capita funding)</t>
  </si>
  <si>
    <t>Teaching grant - part-time PG provision (including premia and per capita funding)</t>
  </si>
  <si>
    <t>QR and PGR funding</t>
  </si>
  <si>
    <t>Non formula funding grant</t>
  </si>
  <si>
    <t>Capital grants recognised in the year - equipment</t>
  </si>
  <si>
    <t>Capital grants recognised in the year - estates</t>
  </si>
  <si>
    <t>DfES recurrent grants</t>
  </si>
  <si>
    <t>Total funding body grants receivable in the year</t>
  </si>
  <si>
    <t>Total Welsh European Funding Office (WEFO) grants receivable in the year (MEMO only)</t>
  </si>
  <si>
    <t>Table 6_S:</t>
  </si>
  <si>
    <t>Funding body grants and other income - Scotland</t>
  </si>
  <si>
    <t>Providers in Scotland only:</t>
  </si>
  <si>
    <t>General fund teaching</t>
  </si>
  <si>
    <t>General fund research and knowledge exchange</t>
  </si>
  <si>
    <t>Ring-fenced grants</t>
  </si>
  <si>
    <t>Strategic funds</t>
  </si>
  <si>
    <t>SFC capital maintenance grant</t>
  </si>
  <si>
    <t>Grants for FE provision</t>
  </si>
  <si>
    <t>Total funding body grants</t>
  </si>
  <si>
    <t>Coronavirus job retention scheme funding</t>
  </si>
  <si>
    <t>City deal funding</t>
  </si>
  <si>
    <t>FTE</t>
  </si>
  <si>
    <t>Number of staff on furlough</t>
  </si>
  <si>
    <t>Table 6_NI:</t>
  </si>
  <si>
    <t>Funding body grants - Northern Ireland</t>
  </si>
  <si>
    <t>Providers in Northern Ireland only:</t>
  </si>
  <si>
    <t>Recurrent (teaching)</t>
  </si>
  <si>
    <t>Recurrent (research)</t>
  </si>
  <si>
    <t>Recurrent - other (including non-recurrent special funding)</t>
  </si>
  <si>
    <t>Table 7:</t>
  </si>
  <si>
    <t>Expenditure -  breakdown by activity and HESA cost centre</t>
  </si>
  <si>
    <t xml:space="preserve">Academic staff costs </t>
  </si>
  <si>
    <t>Other staff costs</t>
  </si>
  <si>
    <t>Total staff costs</t>
  </si>
  <si>
    <t>///////////</t>
  </si>
  <si>
    <t>203 General education expenditure</t>
  </si>
  <si>
    <t>National Bursaries</t>
  </si>
  <si>
    <t>Provider specific (including departmental) bursaries and scholarships</t>
  </si>
  <si>
    <t>Other general expenditure</t>
  </si>
  <si>
    <t>203 Total general education expenditure</t>
  </si>
  <si>
    <t>Premises</t>
  </si>
  <si>
    <t>Repairs and maintenance</t>
  </si>
  <si>
    <t>Other expenditure</t>
  </si>
  <si>
    <t>205 Total premises</t>
  </si>
  <si>
    <t>Residences and catering operations (including conferences)</t>
  </si>
  <si>
    <t>5a</t>
  </si>
  <si>
    <t>5b</t>
  </si>
  <si>
    <t>Catering operations</t>
  </si>
  <si>
    <t>5c</t>
  </si>
  <si>
    <t>206 Total residences and catering operations (including conferences)</t>
  </si>
  <si>
    <t>Total BEIS Research Councils, The Royal Society, British Academy and The Royal Society of Edinburgh</t>
  </si>
  <si>
    <t>6c</t>
  </si>
  <si>
    <t>6d</t>
  </si>
  <si>
    <t>6e</t>
  </si>
  <si>
    <t>6f</t>
  </si>
  <si>
    <t>6g</t>
  </si>
  <si>
    <t>6h</t>
  </si>
  <si>
    <t>6i</t>
  </si>
  <si>
    <t>6j</t>
  </si>
  <si>
    <t>6k</t>
  </si>
  <si>
    <t>6l</t>
  </si>
  <si>
    <t>6m</t>
  </si>
  <si>
    <t>6n</t>
  </si>
  <si>
    <t>Pension cost adjustment</t>
  </si>
  <si>
    <t xml:space="preserve">Other </t>
  </si>
  <si>
    <t>208 Total other expenditure</t>
  </si>
  <si>
    <t>Table 8:</t>
  </si>
  <si>
    <t>Capital expenditure</t>
  </si>
  <si>
    <t>Source of funds</t>
  </si>
  <si>
    <t>Retained proceeds of sales</t>
  </si>
  <si>
    <t>Internal funds</t>
  </si>
  <si>
    <t>Loans</t>
  </si>
  <si>
    <t>Leasing</t>
  </si>
  <si>
    <t>PFI</t>
  </si>
  <si>
    <t>Other external sources</t>
  </si>
  <si>
    <t>Total actual spend</t>
  </si>
  <si>
    <t>Buildings</t>
  </si>
  <si>
    <t>Equipment</t>
  </si>
  <si>
    <t>Other operations</t>
  </si>
  <si>
    <t>Total capital expenditure</t>
  </si>
  <si>
    <t>Table 9:</t>
  </si>
  <si>
    <t>Separately disclosed material items from the audited financial statement of comprehensive income and expenditure</t>
  </si>
  <si>
    <t xml:space="preserve"> 'Material' items disclosed separately in the published accounts should be returned here. Where more than one disclosed item sits under a single head, the amounts should be summed, and the description should comprise all items summed.</t>
  </si>
  <si>
    <t>Hide these columns</t>
  </si>
  <si>
    <t>Disclosed item(s)</t>
  </si>
  <si>
    <t>QR.C19031.Table9.1 Result</t>
  </si>
  <si>
    <t>Cell reference</t>
  </si>
  <si>
    <t>Cell displayed if rule triggers</t>
  </si>
  <si>
    <t>QR.C19031.Table9.2 Result</t>
  </si>
  <si>
    <t>QR.C19031.Table9.3 Result</t>
  </si>
  <si>
    <t>QR.C19031.Table9.4 Result</t>
  </si>
  <si>
    <t>USS provision movement</t>
  </si>
  <si>
    <t>Loan break costs</t>
  </si>
  <si>
    <t>Change in fair value of hedging financial instrument(s)</t>
  </si>
  <si>
    <t>Miscellaneous types of Other comprehensive income</t>
  </si>
  <si>
    <t>Total comprehensive income for the year attributable to:</t>
  </si>
  <si>
    <t>Table 10:</t>
  </si>
  <si>
    <t>Head of provider remuneration</t>
  </si>
  <si>
    <r>
      <rPr>
        <b/>
        <sz val="12"/>
        <color theme="0"/>
        <rFont val="Arial"/>
        <family val="2"/>
      </rPr>
      <t>Guidance:</t>
    </r>
    <r>
      <rPr>
        <sz val="12"/>
        <color theme="0"/>
        <rFont val="Arial"/>
        <family val="2"/>
      </rPr>
      <t xml:space="preserve">
Please record separately the remuneration information for every serving head of provider during the financial years 2019-20 and 2018-19.
Please include all dates, even those falling outside the two financial years, e.g. if head of provider started on 1 January 2015, please enter this as start date.</t>
    </r>
  </si>
  <si>
    <t>Head of provider at 
31 July 2020</t>
  </si>
  <si>
    <t>Previous Head of provider (1)</t>
  </si>
  <si>
    <t>Previous Head of provider (2)</t>
  </si>
  <si>
    <t>Previous Head of provider (3)</t>
  </si>
  <si>
    <t>If the head of provider who was serving on 31 July 2020 has subsequently left, please include the date they actually left. 
Please leave the end date blank for the head of provider at 31 July 2020, if this individual remains in position at date of submission of the HESA finance record.</t>
  </si>
  <si>
    <t xml:space="preserve"> - comments entered (1=yes, 0=no)</t>
  </si>
  <si>
    <t>Name of individuals serving as head of provider during the two years</t>
  </si>
  <si>
    <t>Professor Peter Mathieson</t>
  </si>
  <si>
    <t>Type name here</t>
  </si>
  <si>
    <t>/////////////////////////</t>
  </si>
  <si>
    <t>Start date of service in head of provider role (YYYY-MM-DD)</t>
  </si>
  <si>
    <t>2018-02-05</t>
  </si>
  <si>
    <t>End date of service in head of provider role (YYYY-MM-DD)</t>
  </si>
  <si>
    <t>Disclosures relating to head of provider role</t>
  </si>
  <si>
    <t>Annualised basic salary before salary sacrifice arrangements</t>
  </si>
  <si>
    <t>Paid basic salary</t>
  </si>
  <si>
    <t>Paid basic salary before salary sacrifice arrangements</t>
  </si>
  <si>
    <t>Deductions to reflect salary sacrifice arrangements</t>
  </si>
  <si>
    <t>Total paid basic salary after salary sacrifice arrangements</t>
  </si>
  <si>
    <t>Salary in lieu of pension and payments in lieu of pension contributions</t>
  </si>
  <si>
    <t>Payment of dividends</t>
  </si>
  <si>
    <t>Performance related pay and other bonuses</t>
  </si>
  <si>
    <t>Pension contributions</t>
  </si>
  <si>
    <t>Any sums paid under any pension scheme in relation to employment with the provider</t>
  </si>
  <si>
    <t xml:space="preserve">Compensation for loss of office </t>
  </si>
  <si>
    <t>Total disclosures relating to head of provider role (before salary sacrifice)</t>
  </si>
  <si>
    <t>Other taxable benefits</t>
  </si>
  <si>
    <t>Company cars</t>
  </si>
  <si>
    <t>Subsidised loans including mortgage subsidies</t>
  </si>
  <si>
    <t>Subsidised accommodation</t>
  </si>
  <si>
    <t xml:space="preserve">Where 3d 'Other taxable benefits' has been completed, please detail below what items are included in this: </t>
  </si>
  <si>
    <t>Total other taxable benefits</t>
  </si>
  <si>
    <t>Non-taxable benefits</t>
  </si>
  <si>
    <t>Contributions to relocation costs</t>
  </si>
  <si>
    <t>Living accommodation</t>
  </si>
  <si>
    <t xml:space="preserve">Where 4c 'Other non-taxable benefits' has been completed, please detail below what items are included in this: </t>
  </si>
  <si>
    <t>Other non-taxable benefits</t>
  </si>
  <si>
    <t>Total non-taxable benefits</t>
  </si>
  <si>
    <t>Other remuneration</t>
  </si>
  <si>
    <t>Compensation for loss of benefits</t>
  </si>
  <si>
    <t>Ex-gratia and remuneration payments while on sabbatical</t>
  </si>
  <si>
    <t>Payments for consultancy work that are made to the individual for work delivered using the providers' resources</t>
  </si>
  <si>
    <t xml:space="preserve">Where 5d 'Other remuneration' has been completed, please detail below what items are included in this: </t>
  </si>
  <si>
    <t>5d</t>
  </si>
  <si>
    <t>5e</t>
  </si>
  <si>
    <t>Total other remuneration</t>
  </si>
  <si>
    <t>Total remuneration (before salary sacrifice)</t>
  </si>
  <si>
    <t>Was the individual provided with University accommodation ? (Yes/No)</t>
  </si>
  <si>
    <t>Please confirm if this has been given a nil taxable value in the above table ? (Yes/No)</t>
  </si>
  <si>
    <t>Please use the text box if you wish to provide any commentary in support of the data returned in this table</t>
  </si>
  <si>
    <t>Text box</t>
  </si>
  <si>
    <t>Current head of provider's remuneration expressed as a pay multiple of all other employee's remuneration</t>
  </si>
  <si>
    <t>(Median pay and median total remuneration should be calculated on a full-time equivalent basis across all employees, including academic and non-academic staff)</t>
  </si>
  <si>
    <t>Head of the provider's basic salary divided by the median pay (salary)</t>
  </si>
  <si>
    <t>Head of the provider's total remuneration divided by the median total remuneration.</t>
  </si>
  <si>
    <t>Table 11:</t>
  </si>
  <si>
    <t>Analysis of staff costs</t>
  </si>
  <si>
    <t>Salaries and wages academic staff</t>
  </si>
  <si>
    <t>Salaries and wages non-academic staff</t>
  </si>
  <si>
    <t>Total salaries and wages</t>
  </si>
  <si>
    <t>Social security costs</t>
  </si>
  <si>
    <t>Employer Universities Superannuation Scheme (USS) contributions</t>
  </si>
  <si>
    <t>Employer Teachers' Pension Scheme (TPS) contributions</t>
  </si>
  <si>
    <t>Employer Local Government Pension Scheme (LGPS) contributions</t>
  </si>
  <si>
    <t>Employer Other pension costs</t>
  </si>
  <si>
    <t>Changes to pension provisions (USS)</t>
  </si>
  <si>
    <t>Changes to pension provisions (other)</t>
  </si>
  <si>
    <t xml:space="preserve">Other staff related costs </t>
  </si>
  <si>
    <t xml:space="preserve">Total staff costs </t>
  </si>
  <si>
    <t>Total staff costs (excluding changes to pension provisions and pension adjustments)</t>
  </si>
  <si>
    <t>Average staff numbers</t>
  </si>
  <si>
    <t>Average academic staff numbers (FTE)</t>
  </si>
  <si>
    <t>Average non-academic staff numbers (FTE)</t>
  </si>
  <si>
    <t xml:space="preserve">Total staff numbers (FTE) as disclosed in accounts </t>
  </si>
  <si>
    <t>Remuneration of higher paid staff excluding head of provider, but including funding from external sources including NHS (Not required for Scottish providers)</t>
  </si>
  <si>
    <t>Headcount
(N IRELAND and WALES ONLY)</t>
  </si>
  <si>
    <t xml:space="preserve">Total </t>
  </si>
  <si>
    <t>Split into banding as follows:</t>
  </si>
  <si>
    <t>£100,000 - £104,999</t>
  </si>
  <si>
    <t>£105,000 - £109,999</t>
  </si>
  <si>
    <t>£110,000 - £114,999</t>
  </si>
  <si>
    <t>£115,000 - £119,999</t>
  </si>
  <si>
    <t>£120,000 - £124,999</t>
  </si>
  <si>
    <t>£125,000 - £129,999</t>
  </si>
  <si>
    <t>£130,000 - £134,999</t>
  </si>
  <si>
    <t>£135,000 - £139,999</t>
  </si>
  <si>
    <t>£140,000 - £144,999</t>
  </si>
  <si>
    <t>£145,000 - £149,999</t>
  </si>
  <si>
    <t>£150,000 - £154,999</t>
  </si>
  <si>
    <t>£155,000 - £159,999</t>
  </si>
  <si>
    <t>£160,000 - £164,999</t>
  </si>
  <si>
    <t>£165,000 - £169,999</t>
  </si>
  <si>
    <t>£170,000 - £174,999</t>
  </si>
  <si>
    <t>£175,000 - £179,999</t>
  </si>
  <si>
    <t>£180,000 - £184,999</t>
  </si>
  <si>
    <t>£185,000 - £189,999</t>
  </si>
  <si>
    <t>£190,000 - £194,999</t>
  </si>
  <si>
    <t>£195,000 - £199,999</t>
  </si>
  <si>
    <t>£200,000 - £204,999</t>
  </si>
  <si>
    <t>£205,000 - £209,999</t>
  </si>
  <si>
    <t>£210,000 - £214,999</t>
  </si>
  <si>
    <t>£215,000 - £219,999</t>
  </si>
  <si>
    <t>£220,000 - £224,999</t>
  </si>
  <si>
    <t>£225,000 - £229,999</t>
  </si>
  <si>
    <t>£230,000 - £234,999</t>
  </si>
  <si>
    <t>£235,000 - £239,999</t>
  </si>
  <si>
    <t>£240,000 - £244,999</t>
  </si>
  <si>
    <t>£245,000 - £249,999</t>
  </si>
  <si>
    <t>£250,000 - £254,999</t>
  </si>
  <si>
    <t>£255,000 - £259,999</t>
  </si>
  <si>
    <t>£260,000 - £264,999</t>
  </si>
  <si>
    <t>£265,000 - £269,999</t>
  </si>
  <si>
    <t>£270,000 - £274,999</t>
  </si>
  <si>
    <t>£275,000 - £279,999</t>
  </si>
  <si>
    <t>£280,000 - £284,999</t>
  </si>
  <si>
    <t>£285,000 - £289,999</t>
  </si>
  <si>
    <t>£290,000 - £294,999</t>
  </si>
  <si>
    <t>£295,000 - £299,999</t>
  </si>
  <si>
    <t>£300,000 - £304,999</t>
  </si>
  <si>
    <t>£305,000 - £309,999</t>
  </si>
  <si>
    <t>£310,000 - £314,999</t>
  </si>
  <si>
    <t>£315,000 - £319,999</t>
  </si>
  <si>
    <t>£320,000 - £324,999</t>
  </si>
  <si>
    <t>£325,000 - £329,999</t>
  </si>
  <si>
    <t>£330,000 - £334,999</t>
  </si>
  <si>
    <t>£335,000 - £339,999</t>
  </si>
  <si>
    <t>£340,000 - £344,999</t>
  </si>
  <si>
    <t>£345,000 - £349,999</t>
  </si>
  <si>
    <t>£350,000 - £354,999</t>
  </si>
  <si>
    <t>£355,000 - £359,999</t>
  </si>
  <si>
    <t>£360,000 - £364,999</t>
  </si>
  <si>
    <t>£365,000 - £369,999</t>
  </si>
  <si>
    <t>£370,000 - £374,999</t>
  </si>
  <si>
    <t>£375,000 - £379,999</t>
  </si>
  <si>
    <t>£380,000 - £384,999</t>
  </si>
  <si>
    <t>£385,000 - £389,999</t>
  </si>
  <si>
    <t>£390,000 - £394,999</t>
  </si>
  <si>
    <t>£395,000 - £399,999</t>
  </si>
  <si>
    <t>£400,000 - £404,999</t>
  </si>
  <si>
    <t>£405,000 - £409,999</t>
  </si>
  <si>
    <t>£410,000 - £414,999</t>
  </si>
  <si>
    <t>£415,000 - £419,999</t>
  </si>
  <si>
    <t>£420,000 - £424,999</t>
  </si>
  <si>
    <t>£425,000 - £429,999</t>
  </si>
  <si>
    <t>£430,000 - £434,999</t>
  </si>
  <si>
    <t>£435,000 - £439,999</t>
  </si>
  <si>
    <t>£440,000 - £444,999</t>
  </si>
  <si>
    <t>£445,000 - £449,999</t>
  </si>
  <si>
    <t>£450,000 - £454,999</t>
  </si>
  <si>
    <t>£455,000 - £459,999</t>
  </si>
  <si>
    <t>£460,000 - £464,999</t>
  </si>
  <si>
    <t>£465,000 - £469,999</t>
  </si>
  <si>
    <t>£470,000 - £474,999</t>
  </si>
  <si>
    <t>£475,000 - £479,999</t>
  </si>
  <si>
    <t>£480,000 - £484,999</t>
  </si>
  <si>
    <t>£485,000 - £489,999</t>
  </si>
  <si>
    <t>£490,000 - £494,999</t>
  </si>
  <si>
    <t>£495,000 - £499,999</t>
  </si>
  <si>
    <t>£500,000 - £504,999</t>
  </si>
  <si>
    <t>£505,000 - £509,999</t>
  </si>
  <si>
    <t>£510,000 - £514,999</t>
  </si>
  <si>
    <t>£515,000 - £519,999</t>
  </si>
  <si>
    <t>£520,000 - £524,999</t>
  </si>
  <si>
    <t>£525,000 - £529,999</t>
  </si>
  <si>
    <t>£530,000 - £534,999</t>
  </si>
  <si>
    <t>£535,000 - £539,999</t>
  </si>
  <si>
    <t>£540,000 - £544,999</t>
  </si>
  <si>
    <t>£545,000 - £549,999</t>
  </si>
  <si>
    <t>£550,000 - £554,999</t>
  </si>
  <si>
    <t>£555,000 - £559,999</t>
  </si>
  <si>
    <t>£560,000 - £564,999</t>
  </si>
  <si>
    <t>£565,000 - £569,999</t>
  </si>
  <si>
    <t>£570,000 - £574,999</t>
  </si>
  <si>
    <t>£575,000 - £579,999</t>
  </si>
  <si>
    <t>£580,000 - £584,999</t>
  </si>
  <si>
    <t>£585,000 - £589,999</t>
  </si>
  <si>
    <t>£590,000 - £594,999</t>
  </si>
  <si>
    <t>£595,000 - £599,999</t>
  </si>
  <si>
    <t>£600,000 - £604,999</t>
  </si>
  <si>
    <t>£605,000 - £609,999</t>
  </si>
  <si>
    <t>£610,000 - £614,999</t>
  </si>
  <si>
    <t>£615,000 - £619,999</t>
  </si>
  <si>
    <t>£620,000 - £624,999</t>
  </si>
  <si>
    <t>£625,000 - £629,999</t>
  </si>
  <si>
    <t>£630,000 - £634,999</t>
  </si>
  <si>
    <t>£635,000 - £639,999</t>
  </si>
  <si>
    <t>£640,000 - £644,999</t>
  </si>
  <si>
    <t>£645,000 - £649,999</t>
  </si>
  <si>
    <t>£650,000 - £654,999</t>
  </si>
  <si>
    <t>£655,000 - £659,999</t>
  </si>
  <si>
    <t>£660,000 - £664,999</t>
  </si>
  <si>
    <t>£665,000 - £669,999</t>
  </si>
  <si>
    <t>£670,000 - £674,999</t>
  </si>
  <si>
    <t>£675,000 - £679,999</t>
  </si>
  <si>
    <t>£680,000 - £684,999</t>
  </si>
  <si>
    <t>£685,000 - £689,999</t>
  </si>
  <si>
    <t>£690,000 - £694,999</t>
  </si>
  <si>
    <t>£695,000 - £699,999</t>
  </si>
  <si>
    <t>£700,000 - £704,999</t>
  </si>
  <si>
    <t>£705,000 - £709,999</t>
  </si>
  <si>
    <t>£710,000 - £714,999</t>
  </si>
  <si>
    <t>£715,000 - £719,999</t>
  </si>
  <si>
    <t>£720,000 - £724,999</t>
  </si>
  <si>
    <t>£725,000 - £729,999</t>
  </si>
  <si>
    <t>£730,000 - £734,999</t>
  </si>
  <si>
    <t>£735,000 - £739,999</t>
  </si>
  <si>
    <t>£740,000 - £744,999</t>
  </si>
  <si>
    <t>£745,000 - £749,999</t>
  </si>
  <si>
    <t>£750,000 - £754,999</t>
  </si>
  <si>
    <t>£755,000 - £759,999</t>
  </si>
  <si>
    <t>£760,000 - £764,999</t>
  </si>
  <si>
    <t>£765,000 - £769,999</t>
  </si>
  <si>
    <t>£770,000 - £774,999</t>
  </si>
  <si>
    <t>£775,000 - £779,999</t>
  </si>
  <si>
    <t>£780,000 - £784,999</t>
  </si>
  <si>
    <t>£785,000 - £789,999</t>
  </si>
  <si>
    <t>£790,000 - £794,999</t>
  </si>
  <si>
    <t>£795,000 - £799,999</t>
  </si>
  <si>
    <t>£800,000 and over</t>
  </si>
  <si>
    <t>Table 12:</t>
  </si>
  <si>
    <t>Severance payments</t>
  </si>
  <si>
    <t xml:space="preserve">
</t>
  </si>
  <si>
    <t>Compensation for loss of office paid to the head of provider</t>
  </si>
  <si>
    <t>Loss of office at the provider</t>
  </si>
  <si>
    <t>Loss of office at any of the provider's parent or subsidiary undertakings or any office(s) connected to the provider's affairs</t>
  </si>
  <si>
    <t>Where the compensation includes benefits other than cash: estimated money value</t>
  </si>
  <si>
    <t>Where the compensation includes benefits other than cash: nature of the benefit details</t>
  </si>
  <si>
    <t>Please type nature of the benefits here</t>
  </si>
  <si>
    <t>Where the compensation includes additional pension contributions relating to the employment with the provider: amount of the pension contribution</t>
  </si>
  <si>
    <t>Aggregate of compensation paid for loss of office to staff earning in excess of £100,000 per annum (Excludes head of provider)</t>
  </si>
  <si>
    <t>Loss of office at the provider:</t>
  </si>
  <si>
    <t>Total amount of compensation paid across the whole provider</t>
  </si>
  <si>
    <t>Number of people to whom this was payable</t>
  </si>
  <si>
    <t>Loss of office at any of the provider's parent or subsidiary undertakings or any office(s) connected to the provider's affairs:</t>
  </si>
  <si>
    <t>Please confirm if you are submitting a nil return for severance payments ? (Yes/No)</t>
  </si>
  <si>
    <t>KFI Calculations</t>
  </si>
  <si>
    <t>KFI No.</t>
  </si>
  <si>
    <t>KFI ratio title</t>
  </si>
  <si>
    <t>Ratio specification using Finance record template reference</t>
  </si>
  <si>
    <t>KFI No.- Numeric part</t>
  </si>
  <si>
    <t>KFI Suffix    1=a,2=b</t>
  </si>
  <si>
    <t>Numerator</t>
  </si>
  <si>
    <t>Denominator</t>
  </si>
  <si>
    <t xml:space="preserve">Surplus/(deficit) as a % of total income </t>
  </si>
  <si>
    <t>100 x Table 1 Head 3 / Table 1 Head 1g</t>
  </si>
  <si>
    <t>Staff costs as a % of total income</t>
  </si>
  <si>
    <t>100 x Table 1 Head 2a  / Table 1 Head 1g</t>
  </si>
  <si>
    <t>Premises costs as a % of total costs</t>
  </si>
  <si>
    <t>100 x Table 7 Head 4c column 5 / Table 1 Head 2f</t>
  </si>
  <si>
    <t xml:space="preserve">Unrestricted reserves as a % of total income </t>
  </si>
  <si>
    <t>100 x SUM (Table 2 Head 11a and Table 2 Head 11b) / Table 1 Head 1g</t>
  </si>
  <si>
    <t>External borrowing as a % of total income</t>
  </si>
  <si>
    <t>100 x SUM (Table 2 Head 3a and Head 3b and Head 3c and Head 3f and Head 3g and Table 2 Scotland Head 3a and Table 2 Head 7a and Head 7b and Head 7c and Head 7d and Table 2 Scotland Head 4a) / Table 1 Head 1g</t>
  </si>
  <si>
    <t>Days ratio of total net assets to total expenditure</t>
  </si>
  <si>
    <t>365 * (Table 2 Head 9 / Table 1 Head 2f)</t>
  </si>
  <si>
    <t>Ratio of current assets to current liabilities</t>
  </si>
  <si>
    <t>Table 2 Head 2h / Table 2 Head 3i</t>
  </si>
  <si>
    <t xml:space="preserve">Net cash inflow from operating activities as a % of total income </t>
  </si>
  <si>
    <t>100 x Table 3 Head 6 / Table 1 Head 1g</t>
  </si>
  <si>
    <t>Net liquidity days</t>
  </si>
  <si>
    <t>365 x (SUM (Table 2 Head 2c and Table 2 Head 2d) - Table 2 Head 3a) / (Table 1 Head 2f - Table 1 Head 2d)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</si>
</sst>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0.0"/>
    <numFmt numFmtId="165" formatCode="00000000"/>
    <numFmt numFmtId="166" formatCode="\X"/>
    <numFmt numFmtId="167" formatCode="#,##0.0;\-#,##0.0"/>
    <numFmt numFmtId="168" formatCode="yyyy\-mm\-dd;@"/>
  </numFmts>
  <fonts count="59" x14ac:knownFonts="1">
    <font>
      <sz val="11"/>
      <color theme="1"/>
      <name val="Calibri"/>
      <family val="2"/>
      <scheme val="minor"/>
    </font>
    <font>
      <sz val="10"/>
      <name val="Arial"/>
      <family val="2"/>
    </font>
    <font>
      <b/>
      <sz val="10"/>
      <name val="Arial"/>
      <family val="2"/>
    </font>
    <font>
      <sz val="12"/>
      <color rgb="FFFFFFFF"/>
      <name val="Arial"/>
      <family val="2"/>
    </font>
    <font>
      <b/>
      <sz val="15"/>
      <color theme="3"/>
      <name val="Calibri"/>
      <family val="2"/>
      <scheme val="minor"/>
    </font>
    <font>
      <b/>
      <sz val="11"/>
      <color theme="1"/>
      <name val="Calibri"/>
      <family val="2"/>
      <scheme val="minor"/>
    </font>
    <font>
      <b/>
      <sz val="10"/>
      <color rgb="FF000000"/>
      <name val="Arial"/>
      <family val="2"/>
    </font>
    <font>
      <b/>
      <sz val="12"/>
      <color rgb="FFFFFFFF"/>
      <name val="Arial"/>
      <family val="2"/>
    </font>
    <font>
      <sz val="10"/>
      <color rgb="FFFF0000"/>
      <name val="Arial"/>
      <family val="2"/>
    </font>
    <font>
      <sz val="10"/>
      <color rgb="FF0000FF"/>
      <name val="Arial"/>
      <family val="2"/>
    </font>
    <font>
      <b/>
      <sz val="12"/>
      <color theme="0"/>
      <name val="Arial"/>
      <family val="2"/>
    </font>
    <font>
      <b/>
      <sz val="10"/>
      <color theme="1"/>
      <name val="Arial"/>
      <family val="2"/>
    </font>
    <font>
      <sz val="10"/>
      <color theme="1"/>
      <name val="Arial"/>
      <family val="2"/>
    </font>
    <font>
      <sz val="10"/>
      <color rgb="FF000000"/>
      <name val="Arial"/>
      <family val="2"/>
    </font>
    <font>
      <sz val="10"/>
      <color rgb="FF0070C0"/>
      <name val="Arial"/>
      <family val="2"/>
    </font>
    <font>
      <b/>
      <sz val="10"/>
      <color theme="0"/>
      <name val="Arial"/>
      <family val="2"/>
    </font>
    <font>
      <sz val="10"/>
      <color theme="0"/>
      <name val="Arial"/>
      <family val="2"/>
    </font>
    <font>
      <sz val="12"/>
      <color theme="1"/>
      <name val="Arial"/>
      <family val="2"/>
    </font>
    <font>
      <b/>
      <sz val="12"/>
      <color theme="3"/>
      <name val="Arial"/>
      <family val="2"/>
    </font>
    <font>
      <b/>
      <sz val="12"/>
      <color theme="1"/>
      <name val="Arial"/>
      <family val="2"/>
    </font>
    <font>
      <u/>
      <sz val="12"/>
      <color rgb="FFFFFFFF"/>
      <name val="Arial"/>
      <family val="2"/>
    </font>
    <font>
      <i/>
      <sz val="10"/>
      <color theme="1"/>
      <name val="Arial"/>
      <family val="2"/>
    </font>
    <font>
      <b/>
      <i/>
      <sz val="12"/>
      <color theme="0"/>
      <name val="Arial"/>
      <family val="2"/>
    </font>
    <font>
      <sz val="10"/>
      <color indexed="12"/>
      <name val="Arial"/>
      <family val="2"/>
    </font>
    <font>
      <sz val="11"/>
      <color theme="1"/>
      <name val="Calibri"/>
      <family val="2"/>
      <scheme val="minor"/>
    </font>
    <font>
      <i/>
      <sz val="10"/>
      <color theme="0" tint="-0.499984740745262"/>
      <name val="Arial"/>
      <family val="2"/>
    </font>
    <font>
      <sz val="12"/>
      <color theme="0"/>
      <name val="Arial"/>
      <family val="2"/>
    </font>
    <font>
      <i/>
      <sz val="10"/>
      <color rgb="FFFF0000"/>
      <name val="Arial"/>
      <family val="2"/>
    </font>
    <font>
      <b/>
      <sz val="12"/>
      <color indexed="9"/>
      <name val="Arial"/>
      <family val="2"/>
    </font>
    <font>
      <b/>
      <sz val="11"/>
      <color theme="0"/>
      <name val="Arial"/>
      <family val="2"/>
    </font>
    <font>
      <sz val="11"/>
      <name val="Arial"/>
      <family val="2"/>
    </font>
    <font>
      <sz val="11"/>
      <color theme="1"/>
      <name val="Arial"/>
      <family val="2"/>
    </font>
    <font>
      <b/>
      <sz val="13"/>
      <color theme="0"/>
      <name val="Arial"/>
      <family val="2"/>
    </font>
    <font>
      <sz val="10"/>
      <color indexed="9"/>
      <name val="Arial"/>
      <family val="2"/>
    </font>
    <font>
      <b/>
      <sz val="10"/>
      <color indexed="9"/>
      <name val="Arial"/>
      <family val="2"/>
    </font>
    <font>
      <u/>
      <sz val="10"/>
      <color indexed="12"/>
      <name val="Arial"/>
      <family val="2"/>
    </font>
    <font>
      <sz val="10"/>
      <color rgb="FF3366FF"/>
      <name val="Arial"/>
      <family val="2"/>
    </font>
    <font>
      <sz val="11"/>
      <color rgb="FFFF0000"/>
      <name val="Calibri"/>
      <family val="2"/>
      <scheme val="minor"/>
    </font>
    <font>
      <sz val="12"/>
      <color theme="1"/>
      <name val="Calibri"/>
      <family val="2"/>
      <scheme val="minor"/>
    </font>
    <font>
      <u/>
      <sz val="11"/>
      <color indexed="12"/>
      <name val="Arial"/>
      <family val="2"/>
    </font>
    <font>
      <sz val="10"/>
      <color theme="1"/>
      <name val="Calibri"/>
      <family val="2"/>
      <scheme val="minor"/>
    </font>
    <font>
      <b/>
      <u/>
      <sz val="11"/>
      <color theme="1"/>
      <name val="Arial"/>
      <family val="2"/>
    </font>
    <font>
      <b/>
      <u/>
      <sz val="11"/>
      <color theme="1"/>
      <name val="Calibri"/>
      <family val="2"/>
      <scheme val="minor"/>
    </font>
    <font>
      <strike/>
      <sz val="11"/>
      <color theme="1"/>
      <name val="Calibri"/>
      <family val="2"/>
      <scheme val="minor"/>
    </font>
    <font>
      <sz val="8"/>
      <name val="Calibri"/>
      <family val="2"/>
      <scheme val="minor"/>
    </font>
    <font>
      <b/>
      <sz val="10"/>
      <color rgb="FFFF0000"/>
      <name val="Arial"/>
      <family val="2"/>
    </font>
    <font>
      <b/>
      <u/>
      <sz val="10"/>
      <color rgb="FF000000"/>
      <name val="Arial"/>
      <family val="2"/>
    </font>
    <font>
      <sz val="11"/>
      <color rgb="FF000000"/>
      <name val="Segoe UI"/>
      <family val="2"/>
    </font>
    <font>
      <b/>
      <sz val="11"/>
      <color rgb="FF000000"/>
      <name val="Segoe UI"/>
      <family val="2"/>
    </font>
    <font>
      <sz val="11"/>
      <color rgb="FFFF0000"/>
      <name val="Arial"/>
      <family val="2"/>
    </font>
    <font>
      <b/>
      <sz val="12"/>
      <color rgb="FFFF0000"/>
      <name val="Arial"/>
      <family val="2"/>
    </font>
    <font>
      <sz val="10"/>
      <color rgb="FFBF8F00"/>
      <name val="Arial"/>
      <family val="2"/>
    </font>
    <font>
      <b/>
      <sz val="11"/>
      <color indexed="9"/>
      <name val="Arial"/>
      <family val="2"/>
    </font>
    <font>
      <b/>
      <i/>
      <sz val="11"/>
      <name val="Arial"/>
      <family val="2"/>
    </font>
    <font>
      <i/>
      <sz val="11"/>
      <color theme="0" tint="-0.499984740745262"/>
      <name val="Arial"/>
      <family val="2"/>
    </font>
    <font>
      <sz val="11"/>
      <name val="Calibri"/>
      <family val="2"/>
      <scheme val="minor"/>
    </font>
    <font>
      <strike/>
      <sz val="11"/>
      <color theme="1"/>
      <name val="Arial"/>
      <family val="2"/>
    </font>
    <font>
      <sz val="11"/>
      <color theme="1"/>
      <name val="Calibri"/>
      <family val="2"/>
    </font>
    <font>
      <b/>
      <sz val="11"/>
      <color theme="1"/>
      <name val="Calibri"/>
      <family val="2"/>
    </font>
  </fonts>
  <fills count="15">
    <fill>
      <patternFill patternType="none"/>
    </fill>
    <fill>
      <patternFill patternType="gray125"/>
    </fill>
    <fill>
      <patternFill patternType="solid">
        <fgColor rgb="FF647B96"/>
        <bgColor rgb="FF000000"/>
      </patternFill>
    </fill>
    <fill>
      <patternFill patternType="solid">
        <fgColor rgb="FFAFC0EF"/>
        <bgColor rgb="FF000000"/>
      </patternFill>
    </fill>
    <fill>
      <patternFill patternType="solid">
        <fgColor rgb="FFFFFFFF"/>
        <bgColor rgb="FF000000"/>
      </patternFill>
    </fill>
    <fill>
      <patternFill patternType="solid">
        <fgColor rgb="FFDDE1EB"/>
        <bgColor rgb="FF000000"/>
      </patternFill>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rgb="FFC0C0C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499984740745262"/>
        <bgColor indexed="64"/>
      </patternFill>
    </fill>
    <fill>
      <patternFill patternType="solid">
        <fgColor theme="0" tint="-0.14999847407452621"/>
        <bgColor indexed="64"/>
      </patternFill>
    </fill>
  </fills>
  <borders count="42">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theme="0"/>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2">
    <xf numFmtId="0" fontId="0" fillId="0" borderId="0"/>
    <xf numFmtId="0" fontId="1" fillId="0" borderId="0"/>
    <xf numFmtId="0" fontId="4" fillId="0" borderId="7" applyNumberFormat="0" applyFill="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43" fontId="24" fillId="0" borderId="0" applyFont="0" applyFill="0" applyBorder="0" applyAlignment="0" applyProtection="0"/>
  </cellStyleXfs>
  <cellXfs count="783">
    <xf numFmtId="0" fontId="0" fillId="0" borderId="0" xfId="0"/>
    <xf numFmtId="37" fontId="1" fillId="0" borderId="2" xfId="0" applyNumberFormat="1" applyFont="1" applyBorder="1"/>
    <xf numFmtId="0" fontId="12" fillId="0" borderId="2" xfId="0" applyFont="1" applyBorder="1" applyAlignment="1">
      <alignment horizontal="right"/>
    </xf>
    <xf numFmtId="37" fontId="9" fillId="0" borderId="2" xfId="0" applyNumberFormat="1" applyFont="1" applyBorder="1"/>
    <xf numFmtId="0" fontId="1" fillId="0" borderId="0" xfId="0" applyFont="1"/>
    <xf numFmtId="0" fontId="12" fillId="0" borderId="0" xfId="0" applyFont="1"/>
    <xf numFmtId="0" fontId="12" fillId="0" borderId="0" xfId="0" applyFont="1" applyAlignment="1">
      <alignment wrapText="1"/>
    </xf>
    <xf numFmtId="0" fontId="12" fillId="0" borderId="0" xfId="0" applyFont="1" applyAlignment="1">
      <alignment horizontal="center"/>
    </xf>
    <xf numFmtId="37" fontId="9" fillId="0" borderId="2" xfId="0" applyNumberFormat="1" applyFont="1" applyBorder="1" applyProtection="1">
      <protection locked="0"/>
    </xf>
    <xf numFmtId="0" fontId="12" fillId="0" borderId="0" xfId="0" applyFont="1" applyAlignment="1">
      <alignment horizontal="right"/>
    </xf>
    <xf numFmtId="0" fontId="1" fillId="0" borderId="0" xfId="0" applyFont="1" applyAlignment="1">
      <alignment horizontal="right"/>
    </xf>
    <xf numFmtId="0" fontId="1" fillId="0" borderId="8" xfId="3" applyBorder="1" applyAlignment="1">
      <alignment horizontal="left" indent="1"/>
    </xf>
    <xf numFmtId="0" fontId="1" fillId="0" borderId="8" xfId="3" applyBorder="1"/>
    <xf numFmtId="0" fontId="1" fillId="0" borderId="8" xfId="3" applyBorder="1" applyAlignment="1">
      <alignment horizontal="left"/>
    </xf>
    <xf numFmtId="0" fontId="1" fillId="0" borderId="10" xfId="3" applyBorder="1" applyAlignment="1">
      <alignment horizontal="left"/>
    </xf>
    <xf numFmtId="0" fontId="1" fillId="0" borderId="10" xfId="3" applyBorder="1" applyAlignment="1">
      <alignment horizontal="left" indent="1"/>
    </xf>
    <xf numFmtId="0" fontId="1" fillId="0" borderId="9" xfId="3" applyBorder="1" applyAlignment="1">
      <alignment horizontal="left" indent="1"/>
    </xf>
    <xf numFmtId="0" fontId="1" fillId="0" borderId="10" xfId="0" applyFont="1" applyBorder="1" applyAlignment="1">
      <alignment horizontal="left" indent="2"/>
    </xf>
    <xf numFmtId="0" fontId="11" fillId="0" borderId="0" xfId="0" applyFont="1" applyAlignment="1">
      <alignment horizontal="center"/>
    </xf>
    <xf numFmtId="0" fontId="12" fillId="0" borderId="0" xfId="0" applyFont="1" applyAlignment="1">
      <alignment horizontal="left"/>
    </xf>
    <xf numFmtId="0" fontId="11" fillId="0" borderId="0" xfId="0" applyFont="1"/>
    <xf numFmtId="37" fontId="9" fillId="0" borderId="2" xfId="0" applyNumberFormat="1" applyFont="1" applyBorder="1" applyAlignment="1" applyProtection="1">
      <alignment horizontal="right"/>
      <protection locked="0"/>
    </xf>
    <xf numFmtId="0" fontId="12" fillId="0" borderId="0" xfId="0" quotePrefix="1" applyFont="1"/>
    <xf numFmtId="0" fontId="11" fillId="0" borderId="2" xfId="0" applyFont="1" applyBorder="1" applyAlignment="1">
      <alignment horizontal="center" vertical="center"/>
    </xf>
    <xf numFmtId="0" fontId="11" fillId="0" borderId="0" xfId="0" applyFont="1" applyAlignment="1">
      <alignment horizontal="center" wrapText="1"/>
    </xf>
    <xf numFmtId="0" fontId="12" fillId="0" borderId="13" xfId="0" applyFont="1" applyBorder="1" applyAlignment="1">
      <alignment wrapText="1"/>
    </xf>
    <xf numFmtId="0" fontId="12" fillId="0" borderId="3" xfId="0" applyFont="1" applyBorder="1" applyAlignment="1">
      <alignment wrapText="1"/>
    </xf>
    <xf numFmtId="0" fontId="11" fillId="0" borderId="2" xfId="0" applyFont="1" applyBorder="1" applyAlignment="1">
      <alignment horizontal="center"/>
    </xf>
    <xf numFmtId="0" fontId="12" fillId="0" borderId="0" xfId="0" applyFont="1" applyAlignment="1">
      <alignment horizontal="center" vertical="center" wrapText="1"/>
    </xf>
    <xf numFmtId="0" fontId="12" fillId="0" borderId="0" xfId="0" applyFont="1" applyAlignment="1">
      <alignment horizontal="center" wrapText="1"/>
    </xf>
    <xf numFmtId="0" fontId="25" fillId="0" borderId="0" xfId="0" applyFont="1" applyAlignment="1">
      <alignment horizontal="center"/>
    </xf>
    <xf numFmtId="0" fontId="12" fillId="0" borderId="8" xfId="0" applyFont="1" applyBorder="1"/>
    <xf numFmtId="37" fontId="12" fillId="0" borderId="0" xfId="0" applyNumberFormat="1" applyFont="1" applyAlignment="1">
      <alignment horizontal="center"/>
    </xf>
    <xf numFmtId="0" fontId="12" fillId="0" borderId="9" xfId="0" applyFont="1" applyBorder="1" applyAlignment="1">
      <alignment horizontal="left" indent="1"/>
    </xf>
    <xf numFmtId="0" fontId="12" fillId="0" borderId="9" xfId="0" applyFont="1" applyBorder="1"/>
    <xf numFmtId="0" fontId="12" fillId="0" borderId="9" xfId="0" applyFont="1" applyBorder="1" applyAlignment="1">
      <alignment horizontal="left"/>
    </xf>
    <xf numFmtId="0" fontId="11" fillId="0" borderId="9" xfId="0" applyFont="1" applyBorder="1"/>
    <xf numFmtId="0" fontId="12" fillId="0" borderId="2" xfId="0" applyFont="1" applyBorder="1"/>
    <xf numFmtId="0" fontId="17" fillId="0" borderId="0" xfId="0" applyFont="1"/>
    <xf numFmtId="0" fontId="12" fillId="0" borderId="10" xfId="0" applyFont="1" applyBorder="1"/>
    <xf numFmtId="0" fontId="14" fillId="0" borderId="2" xfId="0" applyFont="1" applyBorder="1"/>
    <xf numFmtId="0" fontId="8" fillId="0" borderId="0" xfId="0" applyFont="1"/>
    <xf numFmtId="0" fontId="0" fillId="0" borderId="9" xfId="0" applyBorder="1"/>
    <xf numFmtId="0" fontId="21" fillId="0" borderId="2" xfId="0" applyFont="1" applyBorder="1"/>
    <xf numFmtId="37" fontId="1" fillId="0" borderId="2" xfId="0" applyNumberFormat="1" applyFont="1" applyBorder="1" applyAlignment="1">
      <alignment horizontal="right"/>
    </xf>
    <xf numFmtId="0" fontId="21" fillId="0" borderId="0" xfId="0" applyFont="1"/>
    <xf numFmtId="0" fontId="12" fillId="0" borderId="2" xfId="0" applyFont="1" applyBorder="1" applyAlignment="1" applyProtection="1">
      <alignment wrapText="1"/>
      <protection locked="0"/>
    </xf>
    <xf numFmtId="0" fontId="12" fillId="0" borderId="2" xfId="0" quotePrefix="1" applyFont="1" applyBorder="1" applyAlignment="1" applyProtection="1">
      <alignment wrapText="1"/>
      <protection locked="0"/>
    </xf>
    <xf numFmtId="0" fontId="12" fillId="0" borderId="8" xfId="0" applyFont="1" applyBorder="1" applyAlignment="1" applyProtection="1">
      <alignment wrapText="1"/>
      <protection locked="0"/>
    </xf>
    <xf numFmtId="0" fontId="30" fillId="0" borderId="2" xfId="0" applyFont="1" applyBorder="1" applyAlignment="1">
      <alignment horizontal="center"/>
    </xf>
    <xf numFmtId="1" fontId="30" fillId="0" borderId="6" xfId="0" applyNumberFormat="1" applyFont="1" applyBorder="1" applyAlignment="1">
      <alignment horizontal="center"/>
    </xf>
    <xf numFmtId="1" fontId="31" fillId="0" borderId="6" xfId="0" applyNumberFormat="1" applyFont="1" applyBorder="1"/>
    <xf numFmtId="1" fontId="31" fillId="0" borderId="20" xfId="0" applyNumberFormat="1" applyFont="1" applyBorder="1"/>
    <xf numFmtId="1" fontId="30" fillId="0" borderId="2" xfId="0" applyNumberFormat="1" applyFont="1" applyBorder="1" applyAlignment="1">
      <alignment horizontal="center"/>
    </xf>
    <xf numFmtId="1" fontId="31" fillId="0" borderId="2" xfId="0" applyNumberFormat="1" applyFont="1" applyBorder="1"/>
    <xf numFmtId="0" fontId="30" fillId="0" borderId="8" xfId="0" applyFont="1" applyBorder="1" applyAlignment="1">
      <alignment horizontal="center" wrapText="1"/>
    </xf>
    <xf numFmtId="1" fontId="30" fillId="0" borderId="8" xfId="0" applyNumberFormat="1" applyFont="1" applyBorder="1" applyAlignment="1">
      <alignment horizontal="center" wrapText="1"/>
    </xf>
    <xf numFmtId="1" fontId="30" fillId="0" borderId="8" xfId="0" applyNumberFormat="1" applyFont="1" applyBorder="1" applyAlignment="1">
      <alignment wrapText="1"/>
    </xf>
    <xf numFmtId="164" fontId="31" fillId="0" borderId="20" xfId="0" applyNumberFormat="1" applyFont="1" applyBorder="1"/>
    <xf numFmtId="0" fontId="30" fillId="0" borderId="18" xfId="0" applyFont="1" applyBorder="1" applyAlignment="1">
      <alignment vertical="top" wrapText="1"/>
    </xf>
    <xf numFmtId="0" fontId="30" fillId="0" borderId="0" xfId="0" applyFont="1" applyAlignment="1">
      <alignment vertical="top" wrapText="1"/>
    </xf>
    <xf numFmtId="0" fontId="12" fillId="0" borderId="2" xfId="0" applyFont="1" applyBorder="1" applyAlignment="1" applyProtection="1">
      <alignment horizontal="left"/>
      <protection locked="0"/>
    </xf>
    <xf numFmtId="0" fontId="1" fillId="0" borderId="2" xfId="0" applyFont="1" applyBorder="1"/>
    <xf numFmtId="0" fontId="2" fillId="0" borderId="10" xfId="0" applyFont="1" applyBorder="1" applyAlignment="1">
      <alignment horizontal="left"/>
    </xf>
    <xf numFmtId="166" fontId="1" fillId="0" borderId="2" xfId="1" applyNumberFormat="1" applyBorder="1" applyAlignment="1" applyProtection="1">
      <alignment horizontal="left"/>
      <protection locked="0"/>
    </xf>
    <xf numFmtId="37" fontId="1" fillId="0" borderId="2" xfId="0" applyNumberFormat="1" applyFont="1" applyBorder="1" applyProtection="1">
      <protection hidden="1"/>
    </xf>
    <xf numFmtId="0" fontId="1" fillId="0" borderId="2" xfId="0" applyFont="1" applyBorder="1" applyAlignment="1" applyProtection="1">
      <alignment horizontal="right"/>
      <protection hidden="1"/>
    </xf>
    <xf numFmtId="0" fontId="1" fillId="0" borderId="0" xfId="0" applyFont="1" applyProtection="1">
      <protection hidden="1"/>
    </xf>
    <xf numFmtId="0" fontId="12" fillId="0" borderId="13" xfId="0" applyFont="1" applyBorder="1" applyAlignment="1">
      <alignment horizontal="right"/>
    </xf>
    <xf numFmtId="0" fontId="1" fillId="0" borderId="13" xfId="0" applyFont="1" applyBorder="1" applyAlignment="1">
      <alignment horizontal="left" indent="2"/>
    </xf>
    <xf numFmtId="0" fontId="12" fillId="0" borderId="13" xfId="0" applyFont="1" applyBorder="1"/>
    <xf numFmtId="0" fontId="12" fillId="0" borderId="0" xfId="0" quotePrefix="1" applyFont="1" applyAlignment="1">
      <alignment horizontal="center" wrapText="1"/>
    </xf>
    <xf numFmtId="0" fontId="31" fillId="0" borderId="0" xfId="0" applyFont="1"/>
    <xf numFmtId="0" fontId="0" fillId="0" borderId="3" xfId="0" applyBorder="1"/>
    <xf numFmtId="37" fontId="1" fillId="0" borderId="0" xfId="1" applyNumberFormat="1"/>
    <xf numFmtId="0" fontId="0" fillId="0" borderId="0" xfId="0" applyAlignment="1">
      <alignment horizontal="center" vertical="center"/>
    </xf>
    <xf numFmtId="0" fontId="31" fillId="0" borderId="0" xfId="0" applyFont="1" applyAlignment="1">
      <alignment horizontal="center" vertical="center"/>
    </xf>
    <xf numFmtId="0" fontId="25" fillId="0" borderId="0" xfId="0" applyFont="1" applyAlignment="1">
      <alignment horizontal="center" vertical="center"/>
    </xf>
    <xf numFmtId="0" fontId="1" fillId="0" borderId="0" xfId="0" applyFont="1" applyAlignment="1">
      <alignment horizontal="center" vertical="center"/>
    </xf>
    <xf numFmtId="0" fontId="1" fillId="0" borderId="9" xfId="1" applyBorder="1" applyAlignment="1">
      <alignment vertical="center"/>
    </xf>
    <xf numFmtId="0" fontId="40" fillId="0" borderId="15" xfId="0" applyFont="1" applyBorder="1"/>
    <xf numFmtId="0" fontId="9" fillId="0" borderId="2" xfId="0" applyFont="1" applyBorder="1" applyProtection="1">
      <protection locked="0"/>
    </xf>
    <xf numFmtId="0" fontId="12" fillId="0" borderId="11" xfId="0" applyFont="1" applyBorder="1"/>
    <xf numFmtId="0" fontId="31" fillId="0" borderId="0" xfId="0" applyFont="1" applyAlignment="1">
      <alignment horizontal="center"/>
    </xf>
    <xf numFmtId="0" fontId="41" fillId="0" borderId="0" xfId="0" applyFont="1" applyAlignment="1">
      <alignment horizontal="center"/>
    </xf>
    <xf numFmtId="0" fontId="42" fillId="0" borderId="0" xfId="0" applyFont="1"/>
    <xf numFmtId="49" fontId="0" fillId="0" borderId="0" xfId="0" quotePrefix="1" applyNumberFormat="1"/>
    <xf numFmtId="49" fontId="0" fillId="0" borderId="0" xfId="0" applyNumberFormat="1"/>
    <xf numFmtId="14" fontId="31" fillId="0" borderId="0" xfId="0" applyNumberFormat="1" applyFont="1" applyAlignment="1">
      <alignment horizontal="center"/>
    </xf>
    <xf numFmtId="0" fontId="0" fillId="0" borderId="13" xfId="0" applyBorder="1" applyAlignment="1">
      <alignment vertical="center"/>
    </xf>
    <xf numFmtId="0" fontId="12" fillId="0" borderId="13" xfId="0" applyFont="1" applyBorder="1" applyAlignment="1" applyProtection="1">
      <alignment horizontal="left"/>
      <protection locked="0"/>
    </xf>
    <xf numFmtId="0" fontId="43" fillId="0" borderId="0" xfId="0" applyFont="1"/>
    <xf numFmtId="0" fontId="12" fillId="0" borderId="13" xfId="0" applyFont="1" applyBorder="1" applyAlignment="1" applyProtection="1">
      <alignment horizontal="left"/>
    </xf>
    <xf numFmtId="0" fontId="46" fillId="0" borderId="28" xfId="0" applyFont="1" applyBorder="1" applyAlignment="1">
      <alignment horizontal="center" vertical="center" wrapText="1"/>
    </xf>
    <xf numFmtId="0" fontId="46" fillId="0" borderId="29" xfId="0" applyFont="1" applyBorder="1" applyAlignment="1">
      <alignment horizontal="center" vertical="center" wrapText="1"/>
    </xf>
    <xf numFmtId="0" fontId="48" fillId="0" borderId="0" xfId="0" applyFont="1" applyAlignment="1">
      <alignment vertical="center" wrapText="1"/>
    </xf>
    <xf numFmtId="0" fontId="47" fillId="0" borderId="0" xfId="0" applyFont="1" applyAlignment="1">
      <alignment vertical="center"/>
    </xf>
    <xf numFmtId="0" fontId="0" fillId="0" borderId="0" xfId="0" applyAlignment="1">
      <alignment horizontal="left" vertical="center"/>
    </xf>
    <xf numFmtId="0" fontId="47" fillId="0" borderId="0" xfId="0" applyFont="1" applyAlignment="1">
      <alignment horizontal="left" vertical="center"/>
    </xf>
    <xf numFmtId="37" fontId="9" fillId="0" borderId="2" xfId="0" applyNumberFormat="1" applyFont="1" applyFill="1" applyBorder="1" applyAlignment="1">
      <alignment horizontal="right"/>
    </xf>
    <xf numFmtId="0" fontId="49" fillId="0" borderId="0" xfId="0" applyFont="1"/>
    <xf numFmtId="14" fontId="41" fillId="0" borderId="0" xfId="0" applyNumberFormat="1" applyFont="1" applyAlignment="1">
      <alignment horizontal="center"/>
    </xf>
    <xf numFmtId="0" fontId="45" fillId="0" borderId="0" xfId="1" applyFont="1" applyFill="1"/>
    <xf numFmtId="0" fontId="5" fillId="0" borderId="28" xfId="0" applyFont="1" applyBorder="1"/>
    <xf numFmtId="0" fontId="0" fillId="0" borderId="31" xfId="0" applyBorder="1"/>
    <xf numFmtId="0" fontId="0" fillId="0" borderId="26" xfId="0" applyBorder="1"/>
    <xf numFmtId="0" fontId="0" fillId="0" borderId="25" xfId="0" applyBorder="1"/>
    <xf numFmtId="0" fontId="42" fillId="0" borderId="32" xfId="0" applyFont="1" applyBorder="1"/>
    <xf numFmtId="0" fontId="0" fillId="0" borderId="33" xfId="0" applyBorder="1"/>
    <xf numFmtId="0" fontId="0" fillId="0" borderId="30" xfId="0" applyBorder="1"/>
    <xf numFmtId="0" fontId="11" fillId="0" borderId="37" xfId="0" applyFont="1" applyBorder="1" applyAlignment="1">
      <alignment horizontal="center"/>
    </xf>
    <xf numFmtId="37" fontId="12" fillId="0" borderId="2" xfId="0" applyNumberFormat="1" applyFont="1" applyFill="1" applyBorder="1" applyAlignment="1">
      <alignment horizontal="right"/>
    </xf>
    <xf numFmtId="37" fontId="8" fillId="0" borderId="2" xfId="0" applyNumberFormat="1" applyFont="1" applyBorder="1" applyAlignment="1" applyProtection="1">
      <alignment horizontal="right"/>
      <protection locked="0"/>
    </xf>
    <xf numFmtId="0" fontId="45" fillId="0" borderId="12" xfId="2" applyFont="1" applyFill="1" applyBorder="1" applyAlignment="1">
      <alignment vertical="top" wrapText="1"/>
    </xf>
    <xf numFmtId="0" fontId="45" fillId="0" borderId="6" xfId="2" applyFont="1" applyFill="1" applyBorder="1" applyAlignment="1">
      <alignment vertical="top" wrapText="1"/>
    </xf>
    <xf numFmtId="0" fontId="50" fillId="0" borderId="2" xfId="0" applyFont="1" applyFill="1" applyBorder="1" applyAlignment="1">
      <alignment horizontal="right" wrapText="1"/>
    </xf>
    <xf numFmtId="0" fontId="50" fillId="0" borderId="6" xfId="0" applyFont="1" applyFill="1" applyBorder="1" applyAlignment="1">
      <alignment horizontal="right"/>
    </xf>
    <xf numFmtId="0" fontId="12" fillId="0" borderId="13" xfId="0" applyFont="1" applyFill="1" applyBorder="1" applyAlignment="1">
      <alignment horizontal="left" indent="1"/>
    </xf>
    <xf numFmtId="0" fontId="2" fillId="0" borderId="38" xfId="3" applyFont="1" applyFill="1" applyBorder="1"/>
    <xf numFmtId="0" fontId="1" fillId="0" borderId="9" xfId="0" applyFont="1" applyFill="1" applyBorder="1" applyAlignment="1">
      <alignment horizontal="left"/>
    </xf>
    <xf numFmtId="0" fontId="0" fillId="0" borderId="17" xfId="0" applyBorder="1" applyAlignment="1">
      <alignment horizontal="center"/>
    </xf>
    <xf numFmtId="0" fontId="0" fillId="0" borderId="39" xfId="0" applyBorder="1" applyAlignment="1">
      <alignment horizontal="center"/>
    </xf>
    <xf numFmtId="0" fontId="0" fillId="0" borderId="32" xfId="0" applyFill="1" applyBorder="1" applyAlignment="1">
      <alignment horizontal="center"/>
    </xf>
    <xf numFmtId="0" fontId="0" fillId="0" borderId="33" xfId="0" applyFill="1" applyBorder="1" applyAlignment="1">
      <alignment horizontal="center"/>
    </xf>
    <xf numFmtId="0" fontId="0" fillId="0" borderId="30" xfId="0" applyFill="1" applyBorder="1" applyAlignment="1">
      <alignment horizontal="center"/>
    </xf>
    <xf numFmtId="0" fontId="0" fillId="0" borderId="40" xfId="0" applyFill="1" applyBorder="1" applyAlignment="1">
      <alignment horizontal="center"/>
    </xf>
    <xf numFmtId="0" fontId="0" fillId="0" borderId="41" xfId="0" applyFill="1" applyBorder="1" applyAlignment="1">
      <alignment horizontal="center"/>
    </xf>
    <xf numFmtId="0" fontId="0" fillId="0" borderId="29" xfId="0" applyFill="1" applyBorder="1" applyAlignment="1">
      <alignment horizontal="center"/>
    </xf>
    <xf numFmtId="0" fontId="5" fillId="0" borderId="30" xfId="0" applyFont="1" applyFill="1" applyBorder="1" applyAlignment="1">
      <alignment horizontal="center"/>
    </xf>
    <xf numFmtId="0" fontId="5" fillId="0" borderId="32" xfId="0" applyFont="1" applyFill="1" applyBorder="1" applyAlignment="1">
      <alignment horizontal="center"/>
    </xf>
    <xf numFmtId="0" fontId="11" fillId="0" borderId="2" xfId="0" applyFont="1" applyBorder="1" applyAlignment="1">
      <alignment horizontal="left"/>
    </xf>
    <xf numFmtId="0" fontId="12" fillId="0" borderId="14" xfId="0" applyFont="1" applyBorder="1"/>
    <xf numFmtId="0" fontId="12" fillId="0" borderId="15" xfId="0" applyFont="1" applyBorder="1"/>
    <xf numFmtId="0" fontId="25" fillId="0" borderId="14" xfId="0" applyFont="1" applyBorder="1" applyAlignment="1">
      <alignment horizontal="left"/>
    </xf>
    <xf numFmtId="0" fontId="12" fillId="0" borderId="16" xfId="0" applyFont="1" applyBorder="1"/>
    <xf numFmtId="0" fontId="12" fillId="0" borderId="3" xfId="0" applyFont="1" applyBorder="1"/>
    <xf numFmtId="37" fontId="8" fillId="0" borderId="2" xfId="0" applyNumberFormat="1" applyFont="1" applyFill="1" applyBorder="1" applyAlignment="1" applyProtection="1">
      <alignment horizontal="right"/>
    </xf>
    <xf numFmtId="37" fontId="1" fillId="0" borderId="8" xfId="0" applyNumberFormat="1" applyFont="1" applyFill="1" applyBorder="1" applyAlignment="1" applyProtection="1">
      <alignment horizontal="center"/>
    </xf>
    <xf numFmtId="37" fontId="1" fillId="0" borderId="10" xfId="0" applyNumberFormat="1" applyFont="1" applyFill="1" applyBorder="1" applyAlignment="1" applyProtection="1">
      <alignment horizontal="center"/>
    </xf>
    <xf numFmtId="0" fontId="1" fillId="0" borderId="13" xfId="0" applyFont="1" applyBorder="1" applyAlignment="1" applyProtection="1">
      <alignment horizontal="left"/>
    </xf>
    <xf numFmtId="0" fontId="40" fillId="0" borderId="9" xfId="0" applyFont="1" applyBorder="1" applyProtection="1"/>
    <xf numFmtId="0" fontId="40" fillId="0" borderId="0" xfId="0" applyFont="1" applyProtection="1"/>
    <xf numFmtId="0" fontId="12" fillId="0" borderId="3" xfId="0" applyFont="1" applyBorder="1" applyAlignment="1" applyProtection="1">
      <alignment horizontal="left"/>
    </xf>
    <xf numFmtId="37" fontId="8" fillId="0" borderId="2" xfId="0" applyNumberFormat="1" applyFont="1" applyFill="1" applyBorder="1" applyProtection="1">
      <protection hidden="1"/>
    </xf>
    <xf numFmtId="0" fontId="11" fillId="0" borderId="8" xfId="0" applyFont="1" applyBorder="1" applyAlignment="1">
      <alignment horizontal="center" wrapText="1"/>
    </xf>
    <xf numFmtId="0" fontId="12" fillId="0" borderId="3" xfId="0" applyFont="1" applyBorder="1" applyAlignment="1" applyProtection="1">
      <alignment horizontal="left" wrapText="1"/>
    </xf>
    <xf numFmtId="0" fontId="12" fillId="0" borderId="2" xfId="0" applyFont="1" applyBorder="1" applyAlignment="1" applyProtection="1">
      <alignment horizontal="left" wrapText="1"/>
      <protection locked="0"/>
    </xf>
    <xf numFmtId="0" fontId="12" fillId="0" borderId="9" xfId="0" applyFont="1" applyBorder="1" applyAlignment="1" applyProtection="1">
      <alignment horizontal="left" wrapText="1"/>
    </xf>
    <xf numFmtId="0" fontId="12" fillId="0" borderId="13" xfId="0" applyFont="1" applyBorder="1" applyAlignment="1" applyProtection="1">
      <alignment horizontal="left" wrapText="1"/>
    </xf>
    <xf numFmtId="0" fontId="12" fillId="0" borderId="0" xfId="0" applyFont="1" applyAlignment="1">
      <alignment horizontal="left" wrapText="1"/>
    </xf>
    <xf numFmtId="0" fontId="1" fillId="0" borderId="0" xfId="0" applyFont="1" applyAlignment="1">
      <alignment wrapText="1"/>
    </xf>
    <xf numFmtId="0" fontId="8" fillId="0" borderId="0" xfId="0" applyFont="1" applyAlignment="1">
      <alignment wrapText="1"/>
    </xf>
    <xf numFmtId="0" fontId="0" fillId="0" borderId="0" xfId="0" applyAlignment="1">
      <alignment wrapText="1"/>
    </xf>
    <xf numFmtId="0" fontId="40" fillId="0" borderId="0" xfId="0" applyFont="1" applyAlignment="1">
      <alignment wrapText="1"/>
    </xf>
    <xf numFmtId="0" fontId="37" fillId="0" borderId="0" xfId="0" applyFont="1" applyAlignment="1">
      <alignment wrapText="1"/>
    </xf>
    <xf numFmtId="0" fontId="12" fillId="0" borderId="30" xfId="0" applyFont="1" applyBorder="1"/>
    <xf numFmtId="0" fontId="12" fillId="0" borderId="28" xfId="0" applyFont="1" applyBorder="1"/>
    <xf numFmtId="0" fontId="30" fillId="0" borderId="0" xfId="0" applyFont="1" applyFill="1"/>
    <xf numFmtId="0" fontId="30" fillId="0" borderId="2" xfId="0" applyFont="1" applyFill="1" applyBorder="1" applyAlignment="1">
      <alignment horizontal="left" wrapText="1"/>
    </xf>
    <xf numFmtId="0" fontId="30" fillId="0" borderId="2" xfId="0" applyFont="1" applyFill="1" applyBorder="1" applyAlignment="1">
      <alignment vertical="top" wrapText="1"/>
    </xf>
    <xf numFmtId="0" fontId="30" fillId="0" borderId="8" xfId="0" applyFont="1" applyFill="1" applyBorder="1"/>
    <xf numFmtId="0" fontId="30" fillId="0" borderId="2" xfId="0" applyFont="1" applyFill="1" applyBorder="1"/>
    <xf numFmtId="0" fontId="30" fillId="0" borderId="9" xfId="0" applyFont="1" applyFill="1" applyBorder="1" applyAlignment="1">
      <alignment wrapText="1"/>
    </xf>
    <xf numFmtId="0" fontId="12" fillId="0" borderId="40" xfId="0" applyFont="1" applyBorder="1" applyAlignment="1" applyProtection="1">
      <alignment horizontal="center"/>
    </xf>
    <xf numFmtId="0" fontId="12" fillId="0" borderId="29" xfId="10" applyNumberFormat="1" applyFont="1" applyBorder="1" applyAlignment="1" applyProtection="1">
      <alignment horizontal="center"/>
    </xf>
    <xf numFmtId="0" fontId="11" fillId="0" borderId="10" xfId="0" applyFont="1" applyBorder="1" applyAlignment="1">
      <alignment horizontal="left"/>
    </xf>
    <xf numFmtId="0" fontId="11" fillId="0" borderId="14" xfId="0" applyFont="1" applyBorder="1" applyAlignment="1">
      <alignment horizontal="center" wrapText="1"/>
    </xf>
    <xf numFmtId="37" fontId="9" fillId="0" borderId="8" xfId="0" applyNumberFormat="1" applyFont="1" applyBorder="1" applyAlignment="1" applyProtection="1">
      <alignment horizontal="right"/>
      <protection locked="0"/>
    </xf>
    <xf numFmtId="0" fontId="11" fillId="0" borderId="14" xfId="0" applyFont="1" applyBorder="1" applyAlignment="1">
      <alignment horizontal="center"/>
    </xf>
    <xf numFmtId="37" fontId="12" fillId="0" borderId="40" xfId="0" applyNumberFormat="1" applyFont="1" applyBorder="1" applyAlignment="1">
      <alignment horizontal="center"/>
    </xf>
    <xf numFmtId="0" fontId="1" fillId="0" borderId="1" xfId="1" applyFont="1" applyFill="1" applyBorder="1" applyAlignment="1">
      <alignment vertical="center"/>
    </xf>
    <xf numFmtId="0" fontId="54" fillId="0" borderId="0" xfId="0" applyFont="1" applyAlignment="1">
      <alignment horizontal="center" vertical="center"/>
    </xf>
    <xf numFmtId="0" fontId="41" fillId="0" borderId="0" xfId="0" applyFont="1" applyAlignment="1">
      <alignment horizontal="center" wrapText="1"/>
    </xf>
    <xf numFmtId="0" fontId="31" fillId="0" borderId="0" xfId="0" applyFont="1" applyAlignment="1">
      <alignment horizontal="center" wrapText="1"/>
    </xf>
    <xf numFmtId="0" fontId="31" fillId="0" borderId="0" xfId="0" applyFont="1" applyAlignment="1">
      <alignment horizontal="left" wrapText="1"/>
    </xf>
    <xf numFmtId="0" fontId="11" fillId="0" borderId="14" xfId="0" applyFont="1" applyBorder="1" applyAlignment="1">
      <alignment horizontal="center" vertical="center"/>
    </xf>
    <xf numFmtId="0" fontId="1" fillId="0" borderId="8" xfId="1" applyFont="1" applyFill="1" applyBorder="1" applyAlignment="1">
      <alignment horizontal="left" vertical="center"/>
    </xf>
    <xf numFmtId="0" fontId="1" fillId="0" borderId="8" xfId="1" applyFont="1" applyFill="1" applyBorder="1" applyAlignment="1">
      <alignment vertical="center"/>
    </xf>
    <xf numFmtId="0" fontId="1" fillId="0" borderId="9" xfId="0" applyFont="1" applyFill="1" applyBorder="1" applyAlignment="1">
      <alignment horizontal="left" wrapText="1"/>
    </xf>
    <xf numFmtId="0" fontId="55" fillId="0" borderId="8" xfId="0" applyFont="1" applyBorder="1"/>
    <xf numFmtId="1" fontId="30" fillId="0" borderId="2" xfId="0" applyNumberFormat="1" applyFont="1" applyBorder="1"/>
    <xf numFmtId="14" fontId="56" fillId="0" borderId="0" xfId="0" applyNumberFormat="1" applyFont="1" applyAlignment="1">
      <alignment horizontal="center"/>
    </xf>
    <xf numFmtId="0" fontId="56" fillId="0" borderId="0" xfId="0" applyFont="1" applyAlignment="1">
      <alignment horizontal="center"/>
    </xf>
    <xf numFmtId="0" fontId="56" fillId="0" borderId="0" xfId="0" applyFont="1" applyAlignment="1">
      <alignment horizontal="center" wrapText="1"/>
    </xf>
    <xf numFmtId="0" fontId="56" fillId="0" borderId="0" xfId="0" applyFont="1" applyAlignment="1">
      <alignment horizontal="left" wrapText="1"/>
    </xf>
    <xf numFmtId="0" fontId="1" fillId="0" borderId="9" xfId="0" applyFont="1" applyFill="1" applyBorder="1"/>
    <xf numFmtId="0" fontId="2" fillId="0" borderId="8" xfId="0" applyFont="1" applyBorder="1"/>
    <xf numFmtId="0" fontId="1" fillId="0" borderId="9" xfId="0" applyFont="1" applyFill="1" applyBorder="1" applyAlignment="1">
      <alignment horizontal="right"/>
    </xf>
    <xf numFmtId="0" fontId="1" fillId="0" borderId="9" xfId="1" applyFont="1" applyFill="1" applyBorder="1" applyAlignment="1" applyProtection="1">
      <alignment horizontal="left" vertical="center" wrapText="1"/>
      <protection hidden="1"/>
    </xf>
    <xf numFmtId="37" fontId="12" fillId="0" borderId="2" xfId="0" applyNumberFormat="1" applyFont="1" applyFill="1" applyBorder="1"/>
    <xf numFmtId="0" fontId="1" fillId="0" borderId="2" xfId="0" applyFont="1" applyFill="1" applyBorder="1" applyAlignment="1">
      <alignment horizontal="right"/>
    </xf>
    <xf numFmtId="0" fontId="10" fillId="2" borderId="34" xfId="0" applyNumberFormat="1" applyFont="1" applyFill="1" applyBorder="1" applyAlignment="1" applyProtection="1">
      <alignment horizontal="right" wrapText="1"/>
    </xf>
    <xf numFmtId="0" fontId="10" fillId="2" borderId="35" xfId="0" applyNumberFormat="1" applyFont="1" applyFill="1" applyBorder="1" applyAlignment="1" applyProtection="1">
      <alignment horizontal="right" wrapText="1"/>
    </xf>
    <xf numFmtId="0" fontId="10" fillId="2" borderId="36" xfId="0" applyNumberFormat="1" applyFont="1" applyFill="1" applyBorder="1" applyAlignment="1" applyProtection="1">
      <alignment horizontal="right" wrapText="1"/>
    </xf>
    <xf numFmtId="0" fontId="0" fillId="12" borderId="8" xfId="0" applyNumberFormat="1" applyFill="1" applyBorder="1" applyAlignment="1" applyProtection="1">
      <alignment horizontal="center"/>
    </xf>
    <xf numFmtId="0" fontId="0" fillId="12" borderId="9" xfId="0" applyNumberFormat="1" applyFill="1" applyBorder="1" applyAlignment="1" applyProtection="1">
      <alignment horizontal="center"/>
    </xf>
    <xf numFmtId="0" fontId="0" fillId="12" borderId="10" xfId="0" applyNumberFormat="1" applyFill="1" applyBorder="1" applyAlignment="1" applyProtection="1">
      <alignment horizontal="center"/>
    </xf>
    <xf numFmtId="0" fontId="0" fillId="0" borderId="0" xfId="0" applyNumberFormat="1" applyFill="1" applyAlignment="1" applyProtection="1">
      <alignment horizontal="center"/>
    </xf>
    <xf numFmtId="0" fontId="2" fillId="0" borderId="30" xfId="0" applyNumberFormat="1" applyFont="1" applyFill="1" applyBorder="1" applyAlignment="1" applyProtection="1">
      <alignment vertical="center" wrapText="1"/>
    </xf>
    <xf numFmtId="0" fontId="2" fillId="0" borderId="25" xfId="0" applyNumberFormat="1" applyFont="1" applyFill="1" applyBorder="1" applyAlignment="1" applyProtection="1">
      <alignment vertical="center" wrapText="1"/>
    </xf>
    <xf numFmtId="0" fontId="1" fillId="0" borderId="30" xfId="0" applyNumberFormat="1" applyFont="1" applyFill="1" applyBorder="1" applyAlignment="1" applyProtection="1">
      <alignment vertical="center" wrapText="1"/>
    </xf>
    <xf numFmtId="0" fontId="1" fillId="13" borderId="25" xfId="0" applyNumberFormat="1" applyFont="1" applyFill="1" applyBorder="1" applyAlignment="1" applyProtection="1">
      <alignment vertical="center" wrapText="1"/>
    </xf>
    <xf numFmtId="0" fontId="1" fillId="13" borderId="30" xfId="0" applyNumberFormat="1" applyFont="1" applyFill="1" applyBorder="1" applyAlignment="1" applyProtection="1">
      <alignment vertical="center" wrapText="1"/>
    </xf>
    <xf numFmtId="0" fontId="1" fillId="0" borderId="25" xfId="0" applyNumberFormat="1" applyFont="1" applyFill="1" applyBorder="1" applyAlignment="1" applyProtection="1">
      <alignment vertical="center" wrapText="1"/>
    </xf>
    <xf numFmtId="0" fontId="1" fillId="6" borderId="0" xfId="0" applyNumberFormat="1" applyFont="1" applyFill="1" applyAlignment="1" applyProtection="1"/>
    <xf numFmtId="0" fontId="1" fillId="6" borderId="0" xfId="0" applyNumberFormat="1" applyFont="1" applyFill="1" applyAlignment="1" applyProtection="1">
      <alignment wrapText="1"/>
    </xf>
    <xf numFmtId="0" fontId="1" fillId="6" borderId="0" xfId="0" applyNumberFormat="1" applyFont="1" applyFill="1" applyAlignment="1" applyProtection="1">
      <alignment horizontal="right" vertical="center" wrapText="1"/>
    </xf>
    <xf numFmtId="0" fontId="1" fillId="6" borderId="0" xfId="0" applyNumberFormat="1" applyFont="1" applyFill="1" applyAlignment="1" applyProtection="1">
      <alignment horizontal="center" vertical="center"/>
    </xf>
    <xf numFmtId="0" fontId="30" fillId="6" borderId="0" xfId="0" applyNumberFormat="1" applyFont="1" applyFill="1" applyAlignment="1" applyProtection="1"/>
    <xf numFmtId="0" fontId="32" fillId="2" borderId="8" xfId="0" applyNumberFormat="1" applyFont="1" applyFill="1" applyBorder="1" applyAlignment="1" applyProtection="1">
      <alignment horizontal="left" vertical="top"/>
    </xf>
    <xf numFmtId="0" fontId="34" fillId="2" borderId="9" xfId="0" applyNumberFormat="1" applyFont="1" applyFill="1" applyBorder="1" applyAlignment="1" applyProtection="1">
      <alignment horizontal="left"/>
    </xf>
    <xf numFmtId="164" fontId="34" fillId="2" borderId="10" xfId="0" applyNumberFormat="1" applyFont="1" applyFill="1" applyBorder="1" applyAlignment="1" applyProtection="1">
      <alignment horizontal="left"/>
    </xf>
    <xf numFmtId="0" fontId="33" fillId="7" borderId="0" xfId="0" applyNumberFormat="1" applyFont="1" applyFill="1" applyAlignment="1" applyProtection="1"/>
    <xf numFmtId="0" fontId="33" fillId="7" borderId="0" xfId="0" applyNumberFormat="1" applyFont="1" applyFill="1" applyAlignment="1" applyProtection="1">
      <alignment wrapText="1"/>
    </xf>
    <xf numFmtId="0" fontId="33" fillId="7" borderId="0" xfId="0" applyNumberFormat="1" applyFont="1" applyFill="1" applyAlignment="1" applyProtection="1">
      <alignment horizontal="right" vertical="center" wrapText="1"/>
    </xf>
    <xf numFmtId="0" fontId="1" fillId="6" borderId="0" xfId="0" applyNumberFormat="1" applyFont="1" applyFill="1" applyAlignment="1" applyProtection="1">
      <alignment vertical="center"/>
    </xf>
    <xf numFmtId="0" fontId="2" fillId="10" borderId="2" xfId="0" applyNumberFormat="1" applyFont="1" applyFill="1" applyBorder="1" applyAlignment="1" applyProtection="1">
      <alignment wrapText="1"/>
    </xf>
    <xf numFmtId="0" fontId="2" fillId="0" borderId="10" xfId="0" applyNumberFormat="1" applyFont="1" applyFill="1" applyBorder="1" applyAlignment="1" applyProtection="1">
      <alignment horizontal="left" wrapText="1"/>
      <protection locked="0"/>
    </xf>
    <xf numFmtId="0" fontId="2" fillId="5" borderId="5" xfId="0" applyNumberFormat="1" applyFont="1" applyFill="1" applyBorder="1" applyAlignment="1" applyProtection="1">
      <alignment horizontal="left"/>
    </xf>
    <xf numFmtId="0" fontId="2" fillId="5" borderId="4" xfId="0" applyNumberFormat="1" applyFont="1" applyFill="1" applyBorder="1" applyAlignment="1" applyProtection="1">
      <alignment horizontal="left"/>
      <protection hidden="1"/>
    </xf>
    <xf numFmtId="0" fontId="1" fillId="7" borderId="0" xfId="0" applyNumberFormat="1" applyFont="1" applyFill="1" applyAlignment="1" applyProtection="1"/>
    <xf numFmtId="0" fontId="1" fillId="7" borderId="0" xfId="0" applyNumberFormat="1" applyFont="1" applyFill="1" applyAlignment="1" applyProtection="1">
      <alignment wrapText="1"/>
    </xf>
    <xf numFmtId="0" fontId="1" fillId="7" borderId="0" xfId="0" applyNumberFormat="1" applyFont="1" applyFill="1" applyAlignment="1" applyProtection="1">
      <alignment horizontal="right" vertical="center" wrapText="1"/>
    </xf>
    <xf numFmtId="0" fontId="2" fillId="8" borderId="2" xfId="0" applyNumberFormat="1" applyFont="1" applyFill="1" applyBorder="1" applyAlignment="1" applyProtection="1"/>
    <xf numFmtId="165" fontId="1" fillId="0" borderId="2" xfId="0" applyNumberFormat="1" applyFont="1" applyFill="1" applyBorder="1" applyAlignment="1" applyProtection="1">
      <alignment horizontal="left"/>
      <protection locked="0"/>
    </xf>
    <xf numFmtId="0" fontId="2" fillId="5" borderId="5" xfId="0" applyNumberFormat="1" applyFont="1" applyFill="1" applyBorder="1" applyAlignment="1" applyProtection="1">
      <alignment horizontal="left"/>
      <protection hidden="1"/>
    </xf>
    <xf numFmtId="0" fontId="2" fillId="5" borderId="6" xfId="0" applyNumberFormat="1" applyFont="1" applyFill="1" applyBorder="1" applyAlignment="1" applyProtection="1"/>
    <xf numFmtId="0" fontId="2" fillId="6" borderId="0" xfId="0" applyNumberFormat="1" applyFont="1" applyFill="1" applyAlignment="1" applyProtection="1">
      <alignment vertical="top"/>
    </xf>
    <xf numFmtId="1" fontId="2" fillId="6" borderId="0" xfId="0" quotePrefix="1" applyNumberFormat="1" applyFont="1" applyFill="1" applyAlignment="1" applyProtection="1">
      <alignment horizontal="left" vertical="top"/>
    </xf>
    <xf numFmtId="0" fontId="2" fillId="0" borderId="13" xfId="0" applyNumberFormat="1" applyFont="1" applyFill="1" applyBorder="1" applyAlignment="1" applyProtection="1">
      <alignment horizontal="left"/>
    </xf>
    <xf numFmtId="0" fontId="2" fillId="0" borderId="0" xfId="0" applyNumberFormat="1" applyFont="1" applyFill="1" applyAlignment="1" applyProtection="1"/>
    <xf numFmtId="0" fontId="1" fillId="0" borderId="0" xfId="0" applyNumberFormat="1" applyFont="1" applyFill="1" applyAlignment="1" applyProtection="1">
      <alignment horizontal="right" vertical="center" wrapText="1"/>
    </xf>
    <xf numFmtId="0" fontId="2" fillId="6" borderId="0" xfId="0" applyNumberFormat="1" applyFont="1" applyFill="1" applyAlignment="1" applyProtection="1">
      <alignment horizontal="left"/>
    </xf>
    <xf numFmtId="0" fontId="2" fillId="6" borderId="0" xfId="0" applyNumberFormat="1" applyFont="1" applyFill="1" applyAlignment="1" applyProtection="1"/>
    <xf numFmtId="1" fontId="2" fillId="6" borderId="0" xfId="0" quotePrefix="1" applyNumberFormat="1" applyFont="1" applyFill="1" applyAlignment="1" applyProtection="1">
      <alignment horizontal="left"/>
    </xf>
    <xf numFmtId="0" fontId="28" fillId="6" borderId="0" xfId="0" applyNumberFormat="1" applyFont="1" applyFill="1" applyAlignment="1" applyProtection="1">
      <alignment horizontal="right"/>
    </xf>
    <xf numFmtId="0" fontId="28" fillId="6" borderId="0" xfId="0" applyNumberFormat="1" applyFont="1" applyFill="1" applyAlignment="1" applyProtection="1"/>
    <xf numFmtId="0" fontId="34" fillId="6" borderId="0" xfId="0" applyNumberFormat="1" applyFont="1" applyFill="1" applyAlignment="1" applyProtection="1"/>
    <xf numFmtId="0" fontId="1" fillId="6" borderId="0" xfId="0" applyNumberFormat="1" applyFont="1" applyFill="1" applyAlignment="1" applyProtection="1">
      <alignment horizontal="left"/>
    </xf>
    <xf numFmtId="0" fontId="1" fillId="6" borderId="0" xfId="0" applyNumberFormat="1" applyFont="1" applyFill="1" applyAlignment="1" applyProtection="1">
      <alignment horizontal="left" indent="1"/>
    </xf>
    <xf numFmtId="37" fontId="1" fillId="6" borderId="0" xfId="0" applyNumberFormat="1" applyFont="1" applyFill="1" applyAlignment="1" applyProtection="1"/>
    <xf numFmtId="0" fontId="23" fillId="6" borderId="0" xfId="0" applyNumberFormat="1" applyFont="1" applyFill="1" applyAlignment="1" applyProtection="1"/>
    <xf numFmtId="0" fontId="23" fillId="0" borderId="0" xfId="0" applyNumberFormat="1" applyFont="1" applyFill="1" applyAlignment="1" applyProtection="1"/>
    <xf numFmtId="0" fontId="39" fillId="6" borderId="0" xfId="0" applyNumberFormat="1" applyFont="1" applyFill="1" applyAlignment="1" applyProtection="1"/>
    <xf numFmtId="0" fontId="35" fillId="6" borderId="0" xfId="0" applyNumberFormat="1" applyFont="1" applyFill="1" applyAlignment="1" applyProtection="1"/>
    <xf numFmtId="0" fontId="1" fillId="6" borderId="0" xfId="0" applyNumberFormat="1" applyFont="1" applyFill="1" applyAlignment="1" applyProtection="1">
      <alignment horizontal="center"/>
    </xf>
    <xf numFmtId="0" fontId="1" fillId="6" borderId="3" xfId="0" applyNumberFormat="1" applyFont="1" applyFill="1" applyBorder="1" applyAlignment="1" applyProtection="1">
      <alignment horizontal="center"/>
    </xf>
    <xf numFmtId="37" fontId="1" fillId="6" borderId="3" xfId="0" applyNumberFormat="1" applyFont="1" applyFill="1" applyBorder="1" applyAlignment="1" applyProtection="1">
      <alignment horizontal="center"/>
    </xf>
    <xf numFmtId="37" fontId="1" fillId="6" borderId="3" xfId="0" applyNumberFormat="1" applyFont="1" applyFill="1" applyBorder="1" applyAlignment="1" applyProtection="1">
      <alignment horizontal="left"/>
    </xf>
    <xf numFmtId="0" fontId="29" fillId="2" borderId="1" xfId="0" applyNumberFormat="1" applyFont="1" applyFill="1" applyBorder="1" applyAlignment="1" applyProtection="1"/>
    <xf numFmtId="0" fontId="15" fillId="2" borderId="13" xfId="0" applyNumberFormat="1" applyFont="1" applyFill="1" applyBorder="1" applyAlignment="1" applyProtection="1"/>
    <xf numFmtId="0" fontId="34" fillId="2" borderId="13" xfId="0" applyNumberFormat="1" applyFont="1" applyFill="1" applyBorder="1" applyAlignment="1" applyProtection="1">
      <alignment horizontal="left"/>
    </xf>
    <xf numFmtId="0" fontId="1" fillId="2" borderId="13" xfId="0" applyNumberFormat="1" applyFont="1" applyFill="1" applyBorder="1" applyAlignment="1" applyProtection="1"/>
    <xf numFmtId="0" fontId="1" fillId="2" borderId="12" xfId="0" applyNumberFormat="1" applyFont="1" applyFill="1" applyBorder="1" applyAlignment="1" applyProtection="1">
      <alignment wrapText="1"/>
    </xf>
    <xf numFmtId="0" fontId="1" fillId="7" borderId="4" xfId="0" applyNumberFormat="1" applyFont="1" applyFill="1" applyBorder="1" applyAlignment="1" applyProtection="1">
      <alignment horizontal="right" vertical="center" wrapText="1"/>
    </xf>
    <xf numFmtId="0" fontId="1" fillId="2" borderId="14" xfId="0" applyNumberFormat="1" applyFont="1" applyFill="1" applyBorder="1" applyAlignment="1" applyProtection="1"/>
    <xf numFmtId="49" fontId="1" fillId="2" borderId="0" xfId="0" applyNumberFormat="1" applyFont="1" applyFill="1" applyAlignment="1" applyProtection="1">
      <alignment horizontal="left"/>
    </xf>
    <xf numFmtId="0" fontId="1" fillId="2" borderId="0" xfId="0" applyNumberFormat="1" applyFont="1" applyFill="1" applyAlignment="1" applyProtection="1">
      <alignment horizontal="left"/>
    </xf>
    <xf numFmtId="0" fontId="1" fillId="2" borderId="0" xfId="0" applyNumberFormat="1" applyFont="1" applyFill="1" applyAlignment="1" applyProtection="1"/>
    <xf numFmtId="0" fontId="16" fillId="2" borderId="0" xfId="0" applyNumberFormat="1" applyFont="1" applyFill="1" applyAlignment="1" applyProtection="1"/>
    <xf numFmtId="0" fontId="16" fillId="2" borderId="0" xfId="0" applyNumberFormat="1" applyFont="1" applyFill="1" applyAlignment="1" applyProtection="1">
      <alignment horizontal="left"/>
    </xf>
    <xf numFmtId="0" fontId="1" fillId="2" borderId="15" xfId="0" applyNumberFormat="1" applyFont="1" applyFill="1" applyBorder="1" applyAlignment="1" applyProtection="1">
      <alignment horizontal="left" wrapText="1"/>
    </xf>
    <xf numFmtId="0" fontId="1" fillId="7" borderId="5" xfId="0" applyNumberFormat="1" applyFont="1" applyFill="1" applyBorder="1" applyAlignment="1" applyProtection="1">
      <alignment horizontal="right" vertical="center" wrapText="1"/>
    </xf>
    <xf numFmtId="0" fontId="29" fillId="2" borderId="16" xfId="0" applyNumberFormat="1" applyFont="1" applyFill="1" applyBorder="1" applyAlignment="1" applyProtection="1"/>
    <xf numFmtId="0" fontId="29" fillId="2" borderId="3" xfId="0" applyNumberFormat="1" applyFont="1" applyFill="1" applyBorder="1" applyAlignment="1" applyProtection="1"/>
    <xf numFmtId="0" fontId="52" fillId="2" borderId="3" xfId="0" applyNumberFormat="1" applyFont="1" applyFill="1" applyBorder="1" applyAlignment="1" applyProtection="1">
      <alignment horizontal="left"/>
    </xf>
    <xf numFmtId="0" fontId="30" fillId="2" borderId="3" xfId="0" applyNumberFormat="1" applyFont="1" applyFill="1" applyBorder="1" applyAlignment="1" applyProtection="1"/>
    <xf numFmtId="0" fontId="29" fillId="2" borderId="11" xfId="0" applyNumberFormat="1" applyFont="1" applyFill="1" applyBorder="1" applyAlignment="1" applyProtection="1">
      <alignment horizontal="left" wrapText="1"/>
    </xf>
    <xf numFmtId="0" fontId="53" fillId="7" borderId="6" xfId="0" applyNumberFormat="1" applyFont="1" applyFill="1" applyBorder="1" applyAlignment="1" applyProtection="1">
      <alignment horizontal="center"/>
    </xf>
    <xf numFmtId="0" fontId="1" fillId="6" borderId="8" xfId="0" applyNumberFormat="1" applyFont="1" applyFill="1" applyBorder="1" applyAlignment="1" applyProtection="1">
      <alignment horizontal="left" vertical="center"/>
    </xf>
    <xf numFmtId="0" fontId="1" fillId="6" borderId="9" xfId="0" applyNumberFormat="1" applyFont="1" applyFill="1" applyBorder="1" applyAlignment="1" applyProtection="1">
      <alignment horizontal="left" vertical="center"/>
    </xf>
    <xf numFmtId="0" fontId="1" fillId="6" borderId="9" xfId="0" applyNumberFormat="1" applyFont="1" applyFill="1" applyBorder="1" applyAlignment="1" applyProtection="1">
      <alignment vertical="center"/>
    </xf>
    <xf numFmtId="0" fontId="1" fillId="6" borderId="10" xfId="0" applyNumberFormat="1" applyFont="1" applyFill="1" applyBorder="1" applyAlignment="1" applyProtection="1">
      <alignment vertical="center" wrapText="1"/>
      <protection hidden="1"/>
    </xf>
    <xf numFmtId="0" fontId="1" fillId="6" borderId="2" xfId="0" applyNumberFormat="1" applyFont="1" applyFill="1" applyBorder="1" applyAlignment="1" applyProtection="1">
      <alignment horizontal="right" vertical="center" wrapText="1"/>
    </xf>
    <xf numFmtId="37" fontId="1" fillId="6" borderId="9" xfId="0" applyNumberFormat="1" applyFont="1" applyFill="1" applyBorder="1" applyAlignment="1" applyProtection="1">
      <alignment vertical="center" wrapText="1"/>
      <protection hidden="1"/>
    </xf>
    <xf numFmtId="0" fontId="1" fillId="6" borderId="1" xfId="0" applyNumberFormat="1" applyFont="1" applyFill="1" applyBorder="1" applyAlignment="1" applyProtection="1">
      <alignment vertical="center"/>
    </xf>
    <xf numFmtId="0" fontId="1" fillId="6" borderId="3" xfId="0" applyNumberFormat="1" applyFont="1" applyFill="1" applyBorder="1" applyAlignment="1" applyProtection="1">
      <alignment vertical="center"/>
    </xf>
    <xf numFmtId="37" fontId="1" fillId="6" borderId="2" xfId="0" applyNumberFormat="1" applyFont="1" applyFill="1" applyBorder="1" applyAlignment="1" applyProtection="1">
      <alignment horizontal="right" vertical="center" wrapText="1"/>
    </xf>
    <xf numFmtId="0" fontId="1" fillId="0" borderId="10" xfId="0" applyNumberFormat="1" applyFont="1" applyFill="1" applyBorder="1" applyAlignment="1" applyProtection="1">
      <alignment vertical="center" wrapText="1"/>
      <protection hidden="1"/>
    </xf>
    <xf numFmtId="0" fontId="1" fillId="0" borderId="2" xfId="0" applyNumberFormat="1" applyFont="1" applyFill="1" applyBorder="1" applyAlignment="1" applyProtection="1">
      <alignment horizontal="right" vertical="center" wrapText="1"/>
    </xf>
    <xf numFmtId="0" fontId="1" fillId="6" borderId="2" xfId="0" quotePrefix="1" applyNumberFormat="1" applyFont="1" applyFill="1" applyBorder="1" applyAlignment="1" applyProtection="1">
      <alignment horizontal="right" vertical="center" wrapText="1"/>
    </xf>
    <xf numFmtId="0" fontId="1" fillId="0" borderId="9" xfId="0" applyNumberFormat="1" applyFont="1" applyFill="1" applyBorder="1" applyAlignment="1" applyProtection="1">
      <alignment horizontal="left" vertical="center"/>
    </xf>
    <xf numFmtId="0" fontId="1" fillId="0" borderId="9" xfId="0" quotePrefix="1" applyNumberFormat="1" applyFont="1" applyFill="1" applyBorder="1" applyAlignment="1" applyProtection="1">
      <alignment vertical="center" wrapText="1"/>
    </xf>
    <xf numFmtId="0" fontId="1" fillId="0" borderId="10" xfId="0" quotePrefix="1" applyNumberFormat="1" applyFont="1" applyFill="1" applyBorder="1" applyAlignment="1" applyProtection="1">
      <alignment vertical="center" wrapText="1"/>
      <protection hidden="1"/>
    </xf>
    <xf numFmtId="0" fontId="1" fillId="0" borderId="2" xfId="0" quotePrefix="1" applyNumberFormat="1" applyFont="1" applyFill="1" applyBorder="1" applyAlignment="1" applyProtection="1">
      <alignment horizontal="right" vertical="center" wrapText="1"/>
    </xf>
    <xf numFmtId="0" fontId="1" fillId="0" borderId="3" xfId="0" applyNumberFormat="1" applyFont="1" applyFill="1" applyBorder="1" applyAlignment="1" applyProtection="1">
      <alignment vertical="center"/>
    </xf>
    <xf numFmtId="37" fontId="1" fillId="6" borderId="2" xfId="0" quotePrefix="1" applyNumberFormat="1" applyFont="1" applyFill="1" applyBorder="1" applyAlignment="1" applyProtection="1">
      <alignment horizontal="right" vertical="center" wrapText="1"/>
    </xf>
    <xf numFmtId="1" fontId="1" fillId="6" borderId="2" xfId="0" applyNumberFormat="1" applyFont="1" applyFill="1" applyBorder="1" applyAlignment="1" applyProtection="1">
      <alignment horizontal="right" vertical="center" wrapText="1"/>
    </xf>
    <xf numFmtId="0" fontId="10" fillId="2" borderId="1" xfId="0" applyNumberFormat="1" applyFont="1" applyFill="1" applyBorder="1" applyAlignment="1" applyProtection="1">
      <alignment vertical="center"/>
    </xf>
    <xf numFmtId="0" fontId="10" fillId="2" borderId="13" xfId="0" applyNumberFormat="1" applyFont="1" applyFill="1" applyBorder="1" applyAlignment="1" applyProtection="1">
      <alignment vertical="center"/>
    </xf>
    <xf numFmtId="0" fontId="10" fillId="2" borderId="13" xfId="0" applyNumberFormat="1" applyFont="1" applyFill="1" applyBorder="1" applyAlignment="1" applyProtection="1">
      <alignment horizontal="left" vertical="top" wrapText="1"/>
    </xf>
    <xf numFmtId="0" fontId="15" fillId="2" borderId="4" xfId="0" applyNumberFormat="1" applyFont="1" applyFill="1" applyBorder="1" applyAlignment="1" applyProtection="1">
      <alignment vertical="top" wrapText="1"/>
    </xf>
    <xf numFmtId="0" fontId="15" fillId="2" borderId="12" xfId="0" applyNumberFormat="1" applyFont="1" applyFill="1" applyBorder="1" applyAlignment="1" applyProtection="1">
      <alignment vertical="top" wrapText="1"/>
    </xf>
    <xf numFmtId="0" fontId="12" fillId="14" borderId="28" xfId="0" applyNumberFormat="1" applyFont="1" applyFill="1" applyBorder="1" applyAlignment="1" applyProtection="1"/>
    <xf numFmtId="0" fontId="10" fillId="2" borderId="14" xfId="0" applyNumberFormat="1" applyFont="1" applyFill="1" applyBorder="1" applyAlignment="1" applyProtection="1">
      <alignment vertical="top" wrapText="1"/>
    </xf>
    <xf numFmtId="0" fontId="10" fillId="2" borderId="0" xfId="0" applyNumberFormat="1" applyFont="1" applyFill="1" applyAlignment="1" applyProtection="1">
      <alignment vertical="top"/>
    </xf>
    <xf numFmtId="0" fontId="10" fillId="2" borderId="0" xfId="0" applyNumberFormat="1" applyFont="1" applyFill="1" applyAlignment="1" applyProtection="1">
      <alignment horizontal="left" vertical="top" wrapText="1"/>
    </xf>
    <xf numFmtId="0" fontId="15" fillId="2" borderId="6" xfId="0" applyNumberFormat="1" applyFont="1" applyFill="1" applyBorder="1" applyAlignment="1" applyProtection="1">
      <alignment vertical="top" wrapText="1"/>
    </xf>
    <xf numFmtId="0" fontId="16" fillId="2" borderId="14" xfId="0" applyNumberFormat="1" applyFont="1" applyFill="1" applyBorder="1" applyAlignment="1" applyProtection="1"/>
    <xf numFmtId="0" fontId="16" fillId="2" borderId="15" xfId="0" applyNumberFormat="1" applyFont="1" applyFill="1" applyBorder="1" applyAlignment="1" applyProtection="1"/>
    <xf numFmtId="0" fontId="10" fillId="2" borderId="8" xfId="0" applyNumberFormat="1" applyFont="1" applyFill="1" applyBorder="1" applyAlignment="1" applyProtection="1">
      <alignment horizontal="right" wrapText="1"/>
    </xf>
    <xf numFmtId="0" fontId="10" fillId="2" borderId="2" xfId="0" applyNumberFormat="1" applyFont="1" applyFill="1" applyBorder="1" applyAlignment="1" applyProtection="1">
      <alignment horizontal="right" wrapText="1"/>
    </xf>
    <xf numFmtId="0" fontId="46" fillId="12" borderId="0" xfId="0" applyNumberFormat="1" applyFont="1" applyFill="1" applyAlignment="1" applyProtection="1"/>
    <xf numFmtId="0" fontId="16" fillId="2" borderId="16" xfId="0" applyNumberFormat="1" applyFont="1" applyFill="1" applyBorder="1" applyAlignment="1" applyProtection="1"/>
    <xf numFmtId="0" fontId="16" fillId="2" borderId="3" xfId="0" applyNumberFormat="1" applyFont="1" applyFill="1" applyBorder="1" applyAlignment="1" applyProtection="1"/>
    <xf numFmtId="0" fontId="16" fillId="2" borderId="11" xfId="0" applyNumberFormat="1" applyFont="1" applyFill="1" applyBorder="1" applyAlignment="1" applyProtection="1"/>
    <xf numFmtId="0" fontId="10" fillId="2" borderId="6" xfId="0" applyNumberFormat="1" applyFont="1" applyFill="1" applyBorder="1" applyAlignment="1" applyProtection="1">
      <alignment horizontal="right" wrapText="1"/>
    </xf>
    <xf numFmtId="0" fontId="12" fillId="9" borderId="2" xfId="0" applyNumberFormat="1" applyFont="1" applyFill="1" applyBorder="1" applyAlignment="1" applyProtection="1">
      <alignment horizontal="right"/>
    </xf>
    <xf numFmtId="0" fontId="11" fillId="3" borderId="8" xfId="0" applyNumberFormat="1" applyFont="1" applyFill="1" applyBorder="1" applyAlignment="1" applyProtection="1"/>
    <xf numFmtId="0" fontId="11" fillId="3" borderId="9" xfId="0" applyNumberFormat="1" applyFont="1" applyFill="1" applyBorder="1" applyAlignment="1" applyProtection="1"/>
    <xf numFmtId="0" fontId="11" fillId="3" borderId="10" xfId="0" applyNumberFormat="1" applyFont="1" applyFill="1" applyBorder="1" applyAlignment="1" applyProtection="1"/>
    <xf numFmtId="0" fontId="12" fillId="3" borderId="2" xfId="0" applyNumberFormat="1" applyFont="1" applyFill="1" applyBorder="1" applyAlignment="1" applyProtection="1"/>
    <xf numFmtId="0" fontId="11" fillId="3" borderId="2" xfId="0" applyNumberFormat="1" applyFont="1" applyFill="1" applyBorder="1" applyAlignment="1" applyProtection="1"/>
    <xf numFmtId="0" fontId="12" fillId="7" borderId="8" xfId="0" applyNumberFormat="1" applyFont="1" applyFill="1" applyBorder="1" applyAlignment="1" applyProtection="1">
      <alignment horizontal="left" indent="1"/>
    </xf>
    <xf numFmtId="0" fontId="12" fillId="7" borderId="9" xfId="0" applyNumberFormat="1" applyFont="1" applyFill="1" applyBorder="1" applyAlignment="1" applyProtection="1">
      <alignment horizontal="left"/>
    </xf>
    <xf numFmtId="0" fontId="12" fillId="7" borderId="9" xfId="0" applyNumberFormat="1" applyFont="1" applyFill="1" applyBorder="1" applyAlignment="1" applyProtection="1">
      <alignment horizontal="left" indent="1"/>
    </xf>
    <xf numFmtId="0" fontId="12" fillId="7" borderId="10" xfId="0" applyNumberFormat="1" applyFont="1" applyFill="1" applyBorder="1" applyAlignment="1" applyProtection="1">
      <alignment horizontal="left" indent="1"/>
    </xf>
    <xf numFmtId="37" fontId="23" fillId="6" borderId="2" xfId="0" applyNumberFormat="1" applyFont="1" applyFill="1" applyBorder="1" applyAlignment="1" applyProtection="1">
      <protection locked="0"/>
    </xf>
    <xf numFmtId="37" fontId="9" fillId="7" borderId="8" xfId="0" applyNumberFormat="1" applyFont="1" applyFill="1" applyBorder="1" applyAlignment="1" applyProtection="1">
      <alignment horizontal="right"/>
      <protection locked="0"/>
    </xf>
    <xf numFmtId="0" fontId="12" fillId="0" borderId="0" xfId="0" applyNumberFormat="1" applyFont="1" applyFill="1" applyAlignment="1" applyProtection="1">
      <alignment horizontal="left" wrapText="1"/>
      <protection locked="0"/>
    </xf>
    <xf numFmtId="37" fontId="9" fillId="7" borderId="2" xfId="0" applyNumberFormat="1" applyFont="1" applyFill="1" applyBorder="1" applyAlignment="1" applyProtection="1">
      <alignment horizontal="right"/>
      <protection locked="0"/>
    </xf>
    <xf numFmtId="0" fontId="11" fillId="5" borderId="8" xfId="0" applyNumberFormat="1" applyFont="1" applyFill="1" applyBorder="1" applyAlignment="1" applyProtection="1"/>
    <xf numFmtId="0" fontId="11" fillId="5" borderId="9" xfId="0" applyNumberFormat="1" applyFont="1" applyFill="1" applyBorder="1" applyAlignment="1" applyProtection="1"/>
    <xf numFmtId="0" fontId="11" fillId="5" borderId="10" xfId="0" applyNumberFormat="1" applyFont="1" applyFill="1" applyBorder="1" applyAlignment="1" applyProtection="1"/>
    <xf numFmtId="37" fontId="12" fillId="5" borderId="2" xfId="0" applyNumberFormat="1" applyFont="1" applyFill="1" applyBorder="1" applyAlignment="1" applyProtection="1">
      <alignment horizontal="right"/>
    </xf>
    <xf numFmtId="0" fontId="12" fillId="7" borderId="8" xfId="0" applyNumberFormat="1" applyFont="1" applyFill="1" applyBorder="1" applyAlignment="1" applyProtection="1"/>
    <xf numFmtId="0" fontId="12" fillId="7" borderId="9" xfId="0" applyNumberFormat="1" applyFont="1" applyFill="1" applyBorder="1" applyAlignment="1" applyProtection="1"/>
    <xf numFmtId="0" fontId="12" fillId="7" borderId="10" xfId="0" applyNumberFormat="1" applyFont="1" applyFill="1" applyBorder="1" applyAlignment="1" applyProtection="1"/>
    <xf numFmtId="0" fontId="12" fillId="7" borderId="2" xfId="0" applyNumberFormat="1" applyFont="1" applyFill="1" applyBorder="1" applyAlignment="1" applyProtection="1">
      <alignment horizontal="right"/>
    </xf>
    <xf numFmtId="0" fontId="12" fillId="3" borderId="2" xfId="0" applyNumberFormat="1" applyFont="1" applyFill="1" applyBorder="1" applyAlignment="1" applyProtection="1">
      <alignment horizontal="right"/>
    </xf>
    <xf numFmtId="0" fontId="1" fillId="7" borderId="9" xfId="0" applyNumberFormat="1" applyFont="1" applyFill="1" applyBorder="1" applyAlignment="1" applyProtection="1"/>
    <xf numFmtId="0" fontId="1" fillId="7" borderId="8" xfId="0" applyNumberFormat="1" applyFont="1" applyFill="1" applyBorder="1" applyAlignment="1" applyProtection="1">
      <alignment horizontal="left" indent="1"/>
    </xf>
    <xf numFmtId="0" fontId="1" fillId="7" borderId="10" xfId="0" applyNumberFormat="1" applyFont="1" applyFill="1" applyBorder="1" applyAlignment="1" applyProtection="1"/>
    <xf numFmtId="0" fontId="1" fillId="7" borderId="9" xfId="0" applyNumberFormat="1" applyFont="1" applyFill="1" applyBorder="1" applyAlignment="1" applyProtection="1">
      <alignment horizontal="left" indent="1"/>
    </xf>
    <xf numFmtId="0" fontId="1" fillId="7" borderId="10" xfId="0" applyNumberFormat="1" applyFont="1" applyFill="1" applyBorder="1" applyAlignment="1" applyProtection="1">
      <alignment horizontal="left" indent="1"/>
    </xf>
    <xf numFmtId="0" fontId="2" fillId="5" borderId="8" xfId="0" applyNumberFormat="1" applyFont="1" applyFill="1" applyBorder="1" applyAlignment="1" applyProtection="1"/>
    <xf numFmtId="0" fontId="2" fillId="5" borderId="9" xfId="0" applyNumberFormat="1" applyFont="1" applyFill="1" applyBorder="1" applyAlignment="1" applyProtection="1"/>
    <xf numFmtId="0" fontId="2" fillId="5" borderId="10" xfId="0" applyNumberFormat="1" applyFont="1" applyFill="1" applyBorder="1" applyAlignment="1" applyProtection="1"/>
    <xf numFmtId="0" fontId="11" fillId="5" borderId="8" xfId="0" applyNumberFormat="1" applyFont="1" applyFill="1" applyBorder="1" applyAlignment="1" applyProtection="1">
      <alignment horizontal="left"/>
    </xf>
    <xf numFmtId="0" fontId="11" fillId="5" borderId="9" xfId="0" applyNumberFormat="1" applyFont="1" applyFill="1" applyBorder="1" applyAlignment="1" applyProtection="1">
      <alignment wrapText="1"/>
    </xf>
    <xf numFmtId="0" fontId="11" fillId="5" borderId="10" xfId="0" applyNumberFormat="1" applyFont="1" applyFill="1" applyBorder="1" applyAlignment="1" applyProtection="1">
      <alignment wrapText="1"/>
    </xf>
    <xf numFmtId="0" fontId="1" fillId="7" borderId="8" xfId="0" applyNumberFormat="1" applyFont="1" applyFill="1" applyBorder="1" applyAlignment="1" applyProtection="1">
      <alignment vertical="top"/>
    </xf>
    <xf numFmtId="0" fontId="1" fillId="7" borderId="9" xfId="0" applyNumberFormat="1" applyFont="1" applyFill="1" applyBorder="1" applyAlignment="1" applyProtection="1">
      <alignment vertical="top"/>
    </xf>
    <xf numFmtId="0" fontId="12" fillId="7" borderId="9" xfId="0" applyNumberFormat="1" applyFont="1" applyFill="1" applyBorder="1" applyAlignment="1" applyProtection="1">
      <alignment vertical="top"/>
    </xf>
    <xf numFmtId="0" fontId="12" fillId="7" borderId="10" xfId="0" applyNumberFormat="1" applyFont="1" applyFill="1" applyBorder="1" applyAlignment="1" applyProtection="1">
      <alignment vertical="top"/>
    </xf>
    <xf numFmtId="0" fontId="1" fillId="9" borderId="2" xfId="0" applyNumberFormat="1" applyFont="1" applyFill="1" applyBorder="1" applyAlignment="1" applyProtection="1">
      <alignment horizontal="right"/>
    </xf>
    <xf numFmtId="0" fontId="1" fillId="7" borderId="10" xfId="0" applyNumberFormat="1" applyFont="1" applyFill="1" applyBorder="1" applyAlignment="1" applyProtection="1">
      <alignment vertical="top"/>
    </xf>
    <xf numFmtId="37" fontId="8" fillId="7" borderId="2" xfId="0" applyNumberFormat="1" applyFont="1" applyFill="1" applyBorder="1" applyAlignment="1" applyProtection="1">
      <alignment horizontal="right"/>
      <protection locked="0"/>
    </xf>
    <xf numFmtId="0" fontId="1" fillId="7" borderId="8" xfId="0" applyNumberFormat="1" applyFont="1" applyFill="1" applyBorder="1" applyAlignment="1" applyProtection="1"/>
    <xf numFmtId="37" fontId="1" fillId="5" borderId="2" xfId="0" applyNumberFormat="1" applyFont="1" applyFill="1" applyBorder="1" applyAlignment="1" applyProtection="1">
      <alignment horizontal="right"/>
    </xf>
    <xf numFmtId="37" fontId="51" fillId="5" borderId="2" xfId="0" applyNumberFormat="1" applyFont="1" applyFill="1" applyBorder="1" applyAlignment="1" applyProtection="1">
      <alignment horizontal="right"/>
    </xf>
    <xf numFmtId="0" fontId="2" fillId="7" borderId="8" xfId="0" applyNumberFormat="1" applyFont="1" applyFill="1" applyBorder="1" applyAlignment="1" applyProtection="1"/>
    <xf numFmtId="0" fontId="2" fillId="7" borderId="9" xfId="0" applyNumberFormat="1" applyFont="1" applyFill="1" applyBorder="1" applyAlignment="1" applyProtection="1"/>
    <xf numFmtId="0" fontId="11" fillId="7" borderId="9" xfId="0" applyNumberFormat="1" applyFont="1" applyFill="1" applyBorder="1" applyAlignment="1" applyProtection="1"/>
    <xf numFmtId="0" fontId="11" fillId="7" borderId="10" xfId="0" applyNumberFormat="1" applyFont="1" applyFill="1" applyBorder="1" applyAlignment="1" applyProtection="1"/>
    <xf numFmtId="37" fontId="9" fillId="7" borderId="2" xfId="0" applyNumberFormat="1" applyFont="1" applyFill="1" applyBorder="1" applyAlignment="1" applyProtection="1">
      <alignment horizontal="right"/>
    </xf>
    <xf numFmtId="0" fontId="9" fillId="7" borderId="2" xfId="0" applyNumberFormat="1" applyFont="1" applyFill="1" applyBorder="1" applyAlignment="1" applyProtection="1">
      <alignment horizontal="right"/>
    </xf>
    <xf numFmtId="0" fontId="2" fillId="3" borderId="8" xfId="0" applyNumberFormat="1" applyFont="1" applyFill="1" applyBorder="1" applyAlignment="1" applyProtection="1"/>
    <xf numFmtId="0" fontId="2" fillId="3" borderId="9" xfId="0" applyNumberFormat="1" applyFont="1" applyFill="1" applyBorder="1" applyAlignment="1" applyProtection="1"/>
    <xf numFmtId="0" fontId="2" fillId="3" borderId="10" xfId="0" applyNumberFormat="1" applyFont="1" applyFill="1" applyBorder="1" applyAlignment="1" applyProtection="1"/>
    <xf numFmtId="0" fontId="1" fillId="5" borderId="9" xfId="0" applyNumberFormat="1" applyFont="1" applyFill="1" applyBorder="1" applyAlignment="1" applyProtection="1"/>
    <xf numFmtId="0" fontId="12" fillId="5" borderId="9" xfId="0" applyNumberFormat="1" applyFont="1" applyFill="1" applyBorder="1" applyAlignment="1" applyProtection="1"/>
    <xf numFmtId="0" fontId="12" fillId="5" borderId="10" xfId="0" applyNumberFormat="1" applyFont="1" applyFill="1" applyBorder="1" applyAlignment="1" applyProtection="1"/>
    <xf numFmtId="0" fontId="12" fillId="5" borderId="2" xfId="0" applyNumberFormat="1" applyFont="1" applyFill="1" applyBorder="1" applyAlignment="1" applyProtection="1"/>
    <xf numFmtId="0" fontId="1" fillId="5" borderId="8" xfId="0" applyNumberFormat="1" applyFont="1" applyFill="1" applyBorder="1" applyAlignment="1" applyProtection="1"/>
    <xf numFmtId="0" fontId="12" fillId="7" borderId="0" xfId="0" applyNumberFormat="1" applyFont="1" applyFill="1" applyAlignment="1" applyProtection="1"/>
    <xf numFmtId="37" fontId="1" fillId="7" borderId="2" xfId="0" applyNumberFormat="1" applyFont="1" applyFill="1" applyBorder="1" applyAlignment="1" applyProtection="1">
      <alignment horizontal="right"/>
      <protection locked="0"/>
    </xf>
    <xf numFmtId="0" fontId="10" fillId="2" borderId="1" xfId="0" applyNumberFormat="1" applyFont="1" applyFill="1" applyBorder="1" applyAlignment="1" applyProtection="1">
      <alignment vertical="center" wrapText="1"/>
    </xf>
    <xf numFmtId="0" fontId="10" fillId="2" borderId="0" xfId="0" applyNumberFormat="1" applyFont="1" applyFill="1" applyAlignment="1" applyProtection="1">
      <alignment vertical="center"/>
    </xf>
    <xf numFmtId="0" fontId="10" fillId="2" borderId="13" xfId="0" applyNumberFormat="1" applyFont="1" applyFill="1" applyBorder="1" applyAlignment="1" applyProtection="1">
      <alignment vertical="top" wrapText="1"/>
    </xf>
    <xf numFmtId="0" fontId="18" fillId="2" borderId="13" xfId="0" applyNumberFormat="1" applyFont="1" applyFill="1" applyBorder="1" applyAlignment="1" applyProtection="1">
      <alignment vertical="top" wrapText="1"/>
    </xf>
    <xf numFmtId="0" fontId="0" fillId="0" borderId="0" xfId="0" applyNumberFormat="1" applyFill="1" applyAlignment="1" applyProtection="1">
      <alignment vertical="top"/>
    </xf>
    <xf numFmtId="0" fontId="10" fillId="2" borderId="0" xfId="0" applyNumberFormat="1" applyFont="1" applyFill="1" applyAlignment="1" applyProtection="1">
      <alignment vertical="top" wrapText="1"/>
    </xf>
    <xf numFmtId="0" fontId="18" fillId="2" borderId="3" xfId="0" applyNumberFormat="1" applyFont="1" applyFill="1" applyBorder="1" applyAlignment="1" applyProtection="1">
      <alignment vertical="top" wrapText="1"/>
    </xf>
    <xf numFmtId="0" fontId="17" fillId="2" borderId="14" xfId="0" applyNumberFormat="1" applyFont="1" applyFill="1" applyBorder="1" applyAlignment="1" applyProtection="1"/>
    <xf numFmtId="0" fontId="17" fillId="2" borderId="0" xfId="0" applyNumberFormat="1" applyFont="1" applyFill="1" applyAlignment="1" applyProtection="1"/>
    <xf numFmtId="0" fontId="17" fillId="2" borderId="15" xfId="0" applyNumberFormat="1" applyFont="1" applyFill="1" applyBorder="1" applyAlignment="1" applyProtection="1"/>
    <xf numFmtId="0" fontId="46" fillId="0" borderId="0" xfId="0" applyNumberFormat="1" applyFont="1" applyFill="1" applyAlignment="1" applyProtection="1"/>
    <xf numFmtId="0" fontId="17" fillId="2" borderId="16" xfId="0" applyNumberFormat="1" applyFont="1" applyFill="1" applyBorder="1" applyAlignment="1" applyProtection="1"/>
    <xf numFmtId="0" fontId="17" fillId="2" borderId="3" xfId="0" applyNumberFormat="1" applyFont="1" applyFill="1" applyBorder="1" applyAlignment="1" applyProtection="1"/>
    <xf numFmtId="0" fontId="17" fillId="2" borderId="11" xfId="0" applyNumberFormat="1" applyFont="1" applyFill="1" applyBorder="1" applyAlignment="1" applyProtection="1"/>
    <xf numFmtId="0" fontId="10" fillId="2" borderId="2" xfId="0" applyNumberFormat="1" applyFont="1" applyFill="1" applyBorder="1" applyAlignment="1" applyProtection="1">
      <alignment horizontal="right" vertical="top" wrapText="1"/>
    </xf>
    <xf numFmtId="0" fontId="12" fillId="14" borderId="32" xfId="0" applyNumberFormat="1" applyFont="1" applyFill="1" applyBorder="1" applyAlignment="1" applyProtection="1"/>
    <xf numFmtId="0" fontId="1" fillId="6" borderId="8" xfId="0" applyNumberFormat="1" applyFont="1" applyFill="1" applyBorder="1" applyAlignment="1" applyProtection="1">
      <alignment horizontal="left" indent="1"/>
    </xf>
    <xf numFmtId="0" fontId="1" fillId="6" borderId="9" xfId="0" applyNumberFormat="1" applyFont="1" applyFill="1" applyBorder="1" applyAlignment="1" applyProtection="1">
      <alignment horizontal="left"/>
    </xf>
    <xf numFmtId="0" fontId="1" fillId="6" borderId="9" xfId="0" applyNumberFormat="1" applyFont="1" applyFill="1" applyBorder="1" applyAlignment="1" applyProtection="1">
      <alignment horizontal="left" indent="1"/>
    </xf>
    <xf numFmtId="0" fontId="1" fillId="6" borderId="10" xfId="0" applyNumberFormat="1" applyFont="1" applyFill="1" applyBorder="1" applyAlignment="1" applyProtection="1">
      <alignment horizontal="left" indent="1"/>
    </xf>
    <xf numFmtId="37" fontId="9" fillId="7" borderId="8" xfId="0" applyNumberFormat="1" applyFont="1" applyFill="1" applyBorder="1" applyAlignment="1" applyProtection="1">
      <alignment horizontal="right"/>
    </xf>
    <xf numFmtId="0" fontId="12" fillId="0" borderId="0" xfId="0" applyNumberFormat="1" applyFont="1" applyFill="1" applyAlignment="1" applyProtection="1">
      <alignment horizontal="left"/>
      <protection locked="0"/>
    </xf>
    <xf numFmtId="0" fontId="1" fillId="5" borderId="8" xfId="0" applyNumberFormat="1" applyFont="1" applyFill="1" applyBorder="1" applyAlignment="1" applyProtection="1">
      <alignment horizontal="left" indent="1"/>
    </xf>
    <xf numFmtId="0" fontId="1" fillId="5" borderId="9" xfId="0" applyNumberFormat="1" applyFont="1" applyFill="1" applyBorder="1" applyAlignment="1" applyProtection="1">
      <alignment horizontal="left"/>
    </xf>
    <xf numFmtId="0" fontId="1" fillId="5" borderId="9" xfId="0" applyNumberFormat="1" applyFont="1" applyFill="1" applyBorder="1" applyAlignment="1" applyProtection="1">
      <alignment horizontal="left" indent="1"/>
    </xf>
    <xf numFmtId="0" fontId="1" fillId="5" borderId="10" xfId="0" applyNumberFormat="1" applyFont="1" applyFill="1" applyBorder="1" applyAlignment="1" applyProtection="1">
      <alignment horizontal="left" indent="1"/>
    </xf>
    <xf numFmtId="37" fontId="8" fillId="7" borderId="2" xfId="0" applyNumberFormat="1" applyFont="1" applyFill="1" applyBorder="1" applyAlignment="1" applyProtection="1">
      <alignment horizontal="right"/>
    </xf>
    <xf numFmtId="0" fontId="1" fillId="7" borderId="9" xfId="0" applyNumberFormat="1" applyFont="1" applyFill="1" applyBorder="1" applyAlignment="1" applyProtection="1">
      <alignment horizontal="left"/>
    </xf>
    <xf numFmtId="0" fontId="8" fillId="7" borderId="9" xfId="0" applyNumberFormat="1" applyFont="1" applyFill="1" applyBorder="1" applyAlignment="1" applyProtection="1">
      <alignment horizontal="left" indent="1"/>
    </xf>
    <xf numFmtId="0" fontId="8" fillId="7" borderId="10" xfId="0" applyNumberFormat="1" applyFont="1" applyFill="1" applyBorder="1" applyAlignment="1" applyProtection="1">
      <alignment horizontal="left" indent="1"/>
    </xf>
    <xf numFmtId="0" fontId="1" fillId="5" borderId="10" xfId="0" applyNumberFormat="1" applyFont="1" applyFill="1" applyBorder="1" applyAlignment="1" applyProtection="1"/>
    <xf numFmtId="0" fontId="2" fillId="3" borderId="9" xfId="0" applyNumberFormat="1" applyFont="1" applyFill="1" applyBorder="1" applyAlignment="1" applyProtection="1">
      <alignment wrapText="1"/>
    </xf>
    <xf numFmtId="0" fontId="11" fillId="3" borderId="9" xfId="0" applyNumberFormat="1" applyFont="1" applyFill="1" applyBorder="1" applyAlignment="1" applyProtection="1">
      <alignment wrapText="1"/>
    </xf>
    <xf numFmtId="0" fontId="11" fillId="3" borderId="10" xfId="0" applyNumberFormat="1" applyFont="1" applyFill="1" applyBorder="1" applyAlignment="1" applyProtection="1">
      <alignment wrapText="1"/>
    </xf>
    <xf numFmtId="0" fontId="1" fillId="7" borderId="8" xfId="0" applyNumberFormat="1" applyFont="1" applyFill="1" applyBorder="1" applyAlignment="1" applyProtection="1">
      <alignment horizontal="left" vertical="center" indent="1"/>
    </xf>
    <xf numFmtId="0" fontId="1" fillId="7" borderId="9" xfId="0" applyNumberFormat="1" applyFont="1" applyFill="1" applyBorder="1" applyAlignment="1" applyProtection="1">
      <alignment horizontal="left" vertical="center"/>
    </xf>
    <xf numFmtId="0" fontId="1" fillId="7" borderId="9" xfId="0" applyNumberFormat="1" applyFont="1" applyFill="1" applyBorder="1" applyAlignment="1" applyProtection="1">
      <alignment horizontal="left" vertical="center" indent="1"/>
    </xf>
    <xf numFmtId="0" fontId="1" fillId="7" borderId="10" xfId="0" applyNumberFormat="1" applyFont="1" applyFill="1" applyBorder="1" applyAlignment="1" applyProtection="1">
      <alignment horizontal="left" vertical="center" indent="1"/>
    </xf>
    <xf numFmtId="0" fontId="2" fillId="5" borderId="8" xfId="0" applyNumberFormat="1" applyFont="1" applyFill="1" applyBorder="1" applyAlignment="1" applyProtection="1">
      <alignment horizontal="left"/>
    </xf>
    <xf numFmtId="0" fontId="12" fillId="5" borderId="9" xfId="0" applyNumberFormat="1" applyFont="1" applyFill="1" applyBorder="1" applyAlignment="1" applyProtection="1">
      <alignment horizontal="left"/>
    </xf>
    <xf numFmtId="0" fontId="12" fillId="5" borderId="10" xfId="0" applyNumberFormat="1" applyFont="1" applyFill="1" applyBorder="1" applyAlignment="1" applyProtection="1">
      <alignment horizontal="left"/>
    </xf>
    <xf numFmtId="0" fontId="14" fillId="7" borderId="2" xfId="0" applyNumberFormat="1" applyFont="1" applyFill="1" applyBorder="1" applyAlignment="1" applyProtection="1">
      <alignment horizontal="right"/>
    </xf>
    <xf numFmtId="0" fontId="10" fillId="2" borderId="1" xfId="0" applyNumberFormat="1" applyFont="1" applyFill="1" applyBorder="1" applyAlignment="1" applyProtection="1">
      <alignment vertical="top"/>
    </xf>
    <xf numFmtId="0" fontId="10" fillId="2" borderId="12" xfId="0" applyNumberFormat="1" applyFont="1" applyFill="1" applyBorder="1" applyAlignment="1" applyProtection="1">
      <alignment vertical="top"/>
    </xf>
    <xf numFmtId="0" fontId="10" fillId="2" borderId="13" xfId="0" applyNumberFormat="1" applyFont="1" applyFill="1" applyBorder="1" applyAlignment="1" applyProtection="1"/>
    <xf numFmtId="0" fontId="10" fillId="2" borderId="13" xfId="0" applyNumberFormat="1" applyFont="1" applyFill="1" applyBorder="1" applyAlignment="1" applyProtection="1">
      <alignment horizontal="center" vertical="top" wrapText="1"/>
    </xf>
    <xf numFmtId="0" fontId="10" fillId="2" borderId="14" xfId="0" applyNumberFormat="1" applyFont="1" applyFill="1" applyBorder="1" applyAlignment="1" applyProtection="1"/>
    <xf numFmtId="0" fontId="10" fillId="2" borderId="0" xfId="0" applyNumberFormat="1" applyFont="1" applyFill="1" applyAlignment="1" applyProtection="1"/>
    <xf numFmtId="0" fontId="10" fillId="2" borderId="3" xfId="0" applyNumberFormat="1" applyFont="1" applyFill="1" applyBorder="1" applyAlignment="1" applyProtection="1">
      <alignment horizontal="center" vertical="top" wrapText="1"/>
    </xf>
    <xf numFmtId="0" fontId="10" fillId="2" borderId="15" xfId="0" applyNumberFormat="1" applyFont="1" applyFill="1" applyBorder="1" applyAlignment="1" applyProtection="1"/>
    <xf numFmtId="0" fontId="12" fillId="9" borderId="2" xfId="0" applyNumberFormat="1" applyFont="1" applyFill="1" applyBorder="1" applyAlignment="1" applyProtection="1"/>
    <xf numFmtId="0" fontId="1" fillId="5" borderId="10" xfId="0" applyNumberFormat="1" applyFont="1" applyFill="1" applyBorder="1" applyAlignment="1" applyProtection="1">
      <alignment horizontal="left"/>
    </xf>
    <xf numFmtId="0" fontId="45" fillId="3" borderId="9" xfId="0" applyNumberFormat="1" applyFont="1" applyFill="1" applyBorder="1" applyAlignment="1" applyProtection="1">
      <alignment wrapText="1"/>
    </xf>
    <xf numFmtId="0" fontId="45" fillId="3" borderId="10" xfId="0" applyNumberFormat="1" applyFont="1" applyFill="1" applyBorder="1" applyAlignment="1" applyProtection="1">
      <alignment wrapText="1"/>
    </xf>
    <xf numFmtId="0" fontId="8" fillId="3" borderId="2" xfId="0" applyNumberFormat="1" applyFont="1" applyFill="1" applyBorder="1" applyAlignment="1" applyProtection="1">
      <alignment horizontal="right"/>
    </xf>
    <xf numFmtId="0" fontId="1" fillId="7" borderId="8" xfId="0" applyNumberFormat="1" applyFont="1" applyFill="1" applyBorder="1" applyAlignment="1" applyProtection="1">
      <alignment horizontal="left"/>
    </xf>
    <xf numFmtId="0" fontId="8" fillId="7" borderId="9" xfId="0" applyNumberFormat="1" applyFont="1" applyFill="1" applyBorder="1" applyAlignment="1" applyProtection="1">
      <alignment horizontal="left"/>
    </xf>
    <xf numFmtId="0" fontId="10" fillId="2" borderId="3" xfId="0" applyNumberFormat="1" applyFont="1" applyFill="1" applyBorder="1" applyAlignment="1" applyProtection="1">
      <alignment vertical="top" wrapText="1"/>
    </xf>
    <xf numFmtId="0" fontId="10" fillId="2" borderId="3" xfId="0" applyNumberFormat="1" applyFont="1" applyFill="1" applyBorder="1" applyAlignment="1" applyProtection="1"/>
    <xf numFmtId="0" fontId="10" fillId="2" borderId="11" xfId="0" applyNumberFormat="1" applyFont="1" applyFill="1" applyBorder="1" applyAlignment="1" applyProtection="1"/>
    <xf numFmtId="0" fontId="7" fillId="2" borderId="6" xfId="0" applyNumberFormat="1" applyFont="1" applyFill="1" applyBorder="1" applyAlignment="1" applyProtection="1">
      <alignment horizontal="right"/>
    </xf>
    <xf numFmtId="0" fontId="1" fillId="6" borderId="8" xfId="0" applyNumberFormat="1" applyFont="1" applyFill="1" applyBorder="1" applyAlignment="1" applyProtection="1"/>
    <xf numFmtId="0" fontId="1" fillId="6" borderId="9" xfId="0" applyNumberFormat="1" applyFont="1" applyFill="1" applyBorder="1" applyAlignment="1" applyProtection="1"/>
    <xf numFmtId="0" fontId="1" fillId="6" borderId="10" xfId="0" applyNumberFormat="1" applyFont="1" applyFill="1" applyBorder="1" applyAlignment="1" applyProtection="1"/>
    <xf numFmtId="37" fontId="1" fillId="7" borderId="2" xfId="0" applyNumberFormat="1" applyFont="1" applyFill="1" applyBorder="1" applyAlignment="1" applyProtection="1">
      <alignment horizontal="right"/>
    </xf>
    <xf numFmtId="0" fontId="1" fillId="7" borderId="2" xfId="0" applyNumberFormat="1" applyFont="1" applyFill="1" applyBorder="1" applyAlignment="1" applyProtection="1">
      <alignment horizontal="right"/>
    </xf>
    <xf numFmtId="0" fontId="1" fillId="3" borderId="2" xfId="0" applyNumberFormat="1" applyFont="1" applyFill="1" applyBorder="1" applyAlignment="1" applyProtection="1">
      <alignment horizontal="right"/>
    </xf>
    <xf numFmtId="0" fontId="1" fillId="6" borderId="8" xfId="0" applyNumberFormat="1" applyFont="1" applyFill="1" applyBorder="1" applyAlignment="1" applyProtection="1">
      <alignment horizontal="left"/>
    </xf>
    <xf numFmtId="37" fontId="1" fillId="7" borderId="2" xfId="0" applyNumberFormat="1" applyFont="1" applyFill="1" applyBorder="1" applyAlignment="1" applyProtection="1">
      <alignment horizontal="left"/>
      <protection locked="0"/>
    </xf>
    <xf numFmtId="37" fontId="1" fillId="7" borderId="0" xfId="0" applyNumberFormat="1" applyFont="1" applyFill="1" applyAlignment="1" applyProtection="1">
      <alignment horizontal="left"/>
      <protection locked="0"/>
    </xf>
    <xf numFmtId="0" fontId="12" fillId="7" borderId="8" xfId="0" applyNumberFormat="1" applyFont="1" applyFill="1" applyBorder="1" applyAlignment="1" applyProtection="1">
      <alignment horizontal="left"/>
    </xf>
    <xf numFmtId="0" fontId="8" fillId="7" borderId="2" xfId="0" applyNumberFormat="1" applyFont="1" applyFill="1" applyBorder="1" applyAlignment="1" applyProtection="1">
      <alignment horizontal="right"/>
    </xf>
    <xf numFmtId="37" fontId="8" fillId="5" borderId="2" xfId="0" applyNumberFormat="1" applyFont="1" applyFill="1" applyBorder="1" applyAlignment="1" applyProtection="1">
      <alignment horizontal="right"/>
    </xf>
    <xf numFmtId="0" fontId="51" fillId="9" borderId="2" xfId="0" applyNumberFormat="1" applyFont="1" applyFill="1" applyBorder="1" applyAlignment="1" applyProtection="1">
      <alignment horizontal="right"/>
    </xf>
    <xf numFmtId="0" fontId="11" fillId="7" borderId="8" xfId="0" applyNumberFormat="1" applyFont="1" applyFill="1" applyBorder="1" applyAlignment="1" applyProtection="1"/>
    <xf numFmtId="37" fontId="1" fillId="5" borderId="2" xfId="0" applyNumberFormat="1" applyFont="1" applyFill="1" applyBorder="1" applyAlignment="1" applyProtection="1">
      <alignment horizontal="right"/>
      <protection hidden="1"/>
    </xf>
    <xf numFmtId="0" fontId="8" fillId="9" borderId="2" xfId="0" applyNumberFormat="1" applyFont="1" applyFill="1" applyBorder="1" applyAlignment="1" applyProtection="1">
      <alignment horizontal="right"/>
    </xf>
    <xf numFmtId="0" fontId="12" fillId="7" borderId="2" xfId="0" applyNumberFormat="1" applyFont="1" applyFill="1" applyBorder="1" applyAlignment="1" applyProtection="1"/>
    <xf numFmtId="0" fontId="1" fillId="7" borderId="2" xfId="0" applyNumberFormat="1" applyFont="1" applyFill="1" applyBorder="1" applyAlignment="1" applyProtection="1"/>
    <xf numFmtId="37" fontId="51" fillId="5" borderId="2" xfId="0" applyNumberFormat="1" applyFont="1" applyFill="1" applyBorder="1" applyAlignment="1" applyProtection="1">
      <alignment horizontal="right"/>
      <protection hidden="1"/>
    </xf>
    <xf numFmtId="37" fontId="1" fillId="5" borderId="2" xfId="0" applyNumberFormat="1" applyFont="1" applyFill="1" applyBorder="1" applyAlignment="1" applyProtection="1"/>
    <xf numFmtId="37" fontId="1" fillId="5" borderId="2" xfId="0" applyNumberFormat="1" applyFont="1" applyFill="1" applyBorder="1" applyAlignment="1" applyProtection="1">
      <protection hidden="1"/>
    </xf>
    <xf numFmtId="0" fontId="8" fillId="5" borderId="9" xfId="0" applyNumberFormat="1" applyFont="1" applyFill="1" applyBorder="1" applyAlignment="1" applyProtection="1"/>
    <xf numFmtId="0" fontId="8" fillId="5" borderId="10" xfId="0" applyNumberFormat="1" applyFont="1" applyFill="1" applyBorder="1" applyAlignment="1" applyProtection="1"/>
    <xf numFmtId="0" fontId="12" fillId="12" borderId="0" xfId="0" applyNumberFormat="1" applyFont="1" applyFill="1" applyAlignment="1" applyProtection="1"/>
    <xf numFmtId="37" fontId="51" fillId="5" borderId="2" xfId="0" applyNumberFormat="1" applyFont="1" applyFill="1" applyBorder="1" applyAlignment="1" applyProtection="1">
      <protection hidden="1"/>
    </xf>
    <xf numFmtId="0" fontId="19" fillId="2" borderId="13" xfId="0" applyNumberFormat="1" applyFont="1" applyFill="1" applyBorder="1" applyAlignment="1" applyProtection="1"/>
    <xf numFmtId="0" fontId="10" fillId="2" borderId="4" xfId="0" applyNumberFormat="1" applyFont="1" applyFill="1" applyBorder="1" applyAlignment="1" applyProtection="1">
      <alignment horizontal="center" wrapText="1"/>
    </xf>
    <xf numFmtId="0" fontId="19" fillId="2" borderId="14" xfId="0" applyNumberFormat="1" applyFont="1" applyFill="1" applyBorder="1" applyAlignment="1" applyProtection="1"/>
    <xf numFmtId="0" fontId="19" fillId="2" borderId="0" xfId="0" applyNumberFormat="1" applyFont="1" applyFill="1" applyAlignment="1" applyProtection="1"/>
    <xf numFmtId="0" fontId="19" fillId="2" borderId="15" xfId="0" applyNumberFormat="1" applyFont="1" applyFill="1" applyBorder="1" applyAlignment="1" applyProtection="1"/>
    <xf numFmtId="0" fontId="3" fillId="2" borderId="4" xfId="0" applyNumberFormat="1" applyFont="1" applyFill="1" applyBorder="1" applyAlignment="1" applyProtection="1">
      <alignment horizontal="center" wrapText="1"/>
    </xf>
    <xf numFmtId="0" fontId="26" fillId="2" borderId="5" xfId="0" applyNumberFormat="1" applyFont="1" applyFill="1" applyBorder="1" applyAlignment="1" applyProtection="1">
      <alignment horizontal="right" wrapText="1"/>
    </xf>
    <xf numFmtId="0" fontId="3" fillId="2" borderId="2" xfId="0" applyNumberFormat="1" applyFont="1" applyFill="1" applyBorder="1" applyAlignment="1" applyProtection="1">
      <alignment horizontal="right" wrapText="1"/>
    </xf>
    <xf numFmtId="0" fontId="3" fillId="2" borderId="8" xfId="0" applyNumberFormat="1" applyFont="1" applyFill="1" applyBorder="1" applyAlignment="1" applyProtection="1">
      <alignment horizontal="right" wrapText="1"/>
    </xf>
    <xf numFmtId="0" fontId="26" fillId="2" borderId="2" xfId="0" applyNumberFormat="1" applyFont="1" applyFill="1" applyBorder="1" applyAlignment="1" applyProtection="1">
      <alignment horizontal="right" wrapText="1"/>
    </xf>
    <xf numFmtId="0" fontId="7" fillId="2" borderId="2" xfId="0" applyNumberFormat="1" applyFont="1" applyFill="1" applyBorder="1" applyAlignment="1" applyProtection="1">
      <alignment horizontal="right"/>
    </xf>
    <xf numFmtId="0" fontId="12" fillId="10" borderId="2" xfId="0" applyNumberFormat="1" applyFont="1" applyFill="1" applyBorder="1" applyAlignment="1" applyProtection="1">
      <alignment horizontal="right"/>
    </xf>
    <xf numFmtId="0" fontId="2" fillId="3" borderId="8" xfId="0" applyNumberFormat="1" applyFont="1" applyFill="1" applyBorder="1" applyAlignment="1" applyProtection="1">
      <alignment horizontal="left"/>
    </xf>
    <xf numFmtId="0" fontId="2" fillId="3" borderId="9" xfId="0" applyNumberFormat="1" applyFont="1" applyFill="1" applyBorder="1" applyAlignment="1" applyProtection="1">
      <alignment horizontal="left"/>
    </xf>
    <xf numFmtId="0" fontId="2" fillId="3" borderId="10" xfId="0" applyNumberFormat="1" applyFont="1" applyFill="1" applyBorder="1" applyAlignment="1" applyProtection="1">
      <alignment horizontal="left"/>
    </xf>
    <xf numFmtId="0" fontId="1" fillId="4" borderId="8" xfId="0" applyNumberFormat="1" applyFont="1" applyFill="1" applyBorder="1" applyAlignment="1" applyProtection="1">
      <alignment horizontal="left"/>
    </xf>
    <xf numFmtId="0" fontId="1" fillId="4" borderId="9" xfId="0" applyNumberFormat="1" applyFont="1" applyFill="1" applyBorder="1" applyAlignment="1" applyProtection="1">
      <alignment horizontal="left"/>
    </xf>
    <xf numFmtId="0" fontId="1" fillId="4" borderId="9" xfId="0" applyNumberFormat="1" applyFont="1" applyFill="1" applyBorder="1" applyAlignment="1" applyProtection="1">
      <alignment horizontal="left" indent="1"/>
    </xf>
    <xf numFmtId="0" fontId="1" fillId="4" borderId="10" xfId="0" applyNumberFormat="1" applyFont="1" applyFill="1" applyBorder="1" applyAlignment="1" applyProtection="1">
      <alignment horizontal="left" indent="1"/>
    </xf>
    <xf numFmtId="37" fontId="12" fillId="5" borderId="2" xfId="0" applyNumberFormat="1" applyFont="1" applyFill="1" applyBorder="1" applyAlignment="1" applyProtection="1"/>
    <xf numFmtId="0" fontId="1" fillId="4" borderId="10" xfId="0" applyNumberFormat="1" applyFont="1" applyFill="1" applyBorder="1" applyAlignment="1" applyProtection="1">
      <alignment horizontal="left"/>
    </xf>
    <xf numFmtId="0" fontId="14" fillId="3" borderId="2" xfId="0" applyNumberFormat="1" applyFont="1" applyFill="1" applyBorder="1" applyAlignment="1" applyProtection="1"/>
    <xf numFmtId="0" fontId="1" fillId="4" borderId="8" xfId="0" applyNumberFormat="1" applyFont="1" applyFill="1" applyBorder="1" applyAlignment="1" applyProtection="1">
      <alignment horizontal="left" indent="1"/>
    </xf>
    <xf numFmtId="0" fontId="1" fillId="4" borderId="8" xfId="0" applyNumberFormat="1" applyFont="1" applyFill="1" applyBorder="1" applyAlignment="1" applyProtection="1"/>
    <xf numFmtId="0" fontId="1" fillId="4" borderId="9" xfId="0" applyNumberFormat="1" applyFont="1" applyFill="1" applyBorder="1" applyAlignment="1" applyProtection="1"/>
    <xf numFmtId="0" fontId="1" fillId="4" borderId="10" xfId="0" applyNumberFormat="1" applyFont="1" applyFill="1" applyBorder="1" applyAlignment="1" applyProtection="1"/>
    <xf numFmtId="0" fontId="1" fillId="4" borderId="9" xfId="0" applyNumberFormat="1" applyFont="1" applyFill="1" applyBorder="1" applyAlignment="1" applyProtection="1">
      <alignment horizontal="left" wrapText="1"/>
    </xf>
    <xf numFmtId="0" fontId="1" fillId="10" borderId="2" xfId="0" applyNumberFormat="1" applyFont="1" applyFill="1" applyBorder="1" applyAlignment="1" applyProtection="1">
      <alignment horizontal="right"/>
    </xf>
    <xf numFmtId="0" fontId="8" fillId="4" borderId="9" xfId="0" applyNumberFormat="1" applyFont="1" applyFill="1" applyBorder="1" applyAlignment="1" applyProtection="1"/>
    <xf numFmtId="0" fontId="8" fillId="4" borderId="10" xfId="0" applyNumberFormat="1" applyFont="1" applyFill="1" applyBorder="1" applyAlignment="1" applyProtection="1"/>
    <xf numFmtId="0" fontId="10" fillId="2" borderId="1" xfId="0" applyNumberFormat="1" applyFont="1" applyFill="1" applyBorder="1" applyAlignment="1" applyProtection="1">
      <alignment horizontal="left" vertical="top"/>
    </xf>
    <xf numFmtId="0" fontId="7" fillId="2" borderId="13" xfId="0" applyNumberFormat="1" applyFont="1" applyFill="1" applyBorder="1" applyAlignment="1" applyProtection="1">
      <alignment horizontal="left" vertical="top" wrapText="1"/>
    </xf>
    <xf numFmtId="0" fontId="7" fillId="2" borderId="14" xfId="0" applyNumberFormat="1" applyFont="1" applyFill="1" applyBorder="1" applyAlignment="1" applyProtection="1">
      <alignment horizontal="left" vertical="top"/>
    </xf>
    <xf numFmtId="0" fontId="7" fillId="2" borderId="0" xfId="0" applyNumberFormat="1" applyFont="1" applyFill="1" applyAlignment="1" applyProtection="1">
      <alignment horizontal="left" vertical="top" wrapText="1"/>
    </xf>
    <xf numFmtId="0" fontId="7" fillId="2" borderId="0" xfId="0" applyNumberFormat="1" applyFont="1" applyFill="1" applyAlignment="1" applyProtection="1">
      <alignment horizontal="center"/>
    </xf>
    <xf numFmtId="0" fontId="7" fillId="2" borderId="15" xfId="0" applyNumberFormat="1" applyFont="1" applyFill="1" applyBorder="1" applyAlignment="1" applyProtection="1">
      <alignment horizontal="center"/>
    </xf>
    <xf numFmtId="0" fontId="20" fillId="2" borderId="16" xfId="0" applyNumberFormat="1" applyFont="1" applyFill="1" applyBorder="1" applyAlignment="1" applyProtection="1"/>
    <xf numFmtId="0" fontId="20" fillId="2" borderId="3" xfId="0" applyNumberFormat="1" applyFont="1" applyFill="1" applyBorder="1" applyAlignment="1" applyProtection="1"/>
    <xf numFmtId="0" fontId="7" fillId="2" borderId="2" xfId="0" applyNumberFormat="1" applyFont="1" applyFill="1" applyBorder="1" applyAlignment="1" applyProtection="1">
      <alignment horizontal="right" wrapText="1"/>
    </xf>
    <xf numFmtId="0" fontId="1" fillId="3" borderId="2" xfId="0" applyNumberFormat="1" applyFont="1" applyFill="1" applyBorder="1" applyAlignment="1" applyProtection="1"/>
    <xf numFmtId="0" fontId="1" fillId="3" borderId="8" xfId="0" applyNumberFormat="1" applyFont="1" applyFill="1" applyBorder="1" applyAlignment="1" applyProtection="1">
      <alignment horizontal="left" indent="1"/>
    </xf>
    <xf numFmtId="0" fontId="2" fillId="3" borderId="9" xfId="0" applyNumberFormat="1" applyFont="1" applyFill="1" applyBorder="1" applyAlignment="1" applyProtection="1">
      <alignment horizontal="left"/>
      <protection hidden="1"/>
    </xf>
    <xf numFmtId="0" fontId="1" fillId="3" borderId="9" xfId="0" applyNumberFormat="1" applyFont="1" applyFill="1" applyBorder="1" applyAlignment="1" applyProtection="1">
      <alignment horizontal="left" indent="1"/>
    </xf>
    <xf numFmtId="0" fontId="1" fillId="3" borderId="10" xfId="0" applyNumberFormat="1" applyFont="1" applyFill="1" applyBorder="1" applyAlignment="1" applyProtection="1">
      <alignment horizontal="left" indent="1"/>
    </xf>
    <xf numFmtId="37" fontId="1" fillId="3" borderId="2" xfId="0" applyNumberFormat="1" applyFont="1" applyFill="1" applyBorder="1" applyAlignment="1" applyProtection="1"/>
    <xf numFmtId="0" fontId="1" fillId="4" borderId="8" xfId="0" applyNumberFormat="1" applyFont="1" applyFill="1" applyBorder="1" applyAlignment="1" applyProtection="1">
      <alignment horizontal="left" indent="2"/>
    </xf>
    <xf numFmtId="0" fontId="1" fillId="4" borderId="9" xfId="0" applyNumberFormat="1" applyFont="1" applyFill="1" applyBorder="1" applyAlignment="1" applyProtection="1">
      <alignment horizontal="left" indent="2"/>
    </xf>
    <xf numFmtId="0" fontId="1" fillId="4" borderId="10" xfId="0" applyNumberFormat="1" applyFont="1" applyFill="1" applyBorder="1" applyAlignment="1" applyProtection="1">
      <alignment horizontal="left" indent="2"/>
    </xf>
    <xf numFmtId="37" fontId="9" fillId="4" borderId="2" xfId="0" applyNumberFormat="1" applyFont="1" applyFill="1" applyBorder="1" applyAlignment="1" applyProtection="1">
      <alignment horizontal="right"/>
      <protection locked="0"/>
    </xf>
    <xf numFmtId="37" fontId="9" fillId="5" borderId="2" xfId="0" applyNumberFormat="1" applyFont="1" applyFill="1" applyBorder="1" applyAlignment="1" applyProtection="1">
      <alignment horizontal="right"/>
      <protection locked="0"/>
    </xf>
    <xf numFmtId="0" fontId="1" fillId="5" borderId="8" xfId="0" applyNumberFormat="1" applyFont="1" applyFill="1" applyBorder="1" applyAlignment="1" applyProtection="1">
      <alignment horizontal="left"/>
    </xf>
    <xf numFmtId="0" fontId="2" fillId="5" borderId="9" xfId="0" applyNumberFormat="1" applyFont="1" applyFill="1" applyBorder="1" applyAlignment="1" applyProtection="1">
      <alignment horizontal="left"/>
    </xf>
    <xf numFmtId="37" fontId="1" fillId="3" borderId="2" xfId="0" applyNumberFormat="1" applyFont="1" applyFill="1" applyBorder="1" applyAlignment="1" applyProtection="1">
      <protection hidden="1"/>
    </xf>
    <xf numFmtId="37" fontId="1" fillId="4" borderId="2" xfId="0" applyNumberFormat="1" applyFont="1" applyFill="1" applyBorder="1" applyAlignment="1" applyProtection="1">
      <alignment horizontal="right"/>
    </xf>
    <xf numFmtId="0" fontId="0" fillId="5" borderId="0" xfId="0" applyNumberFormat="1" applyFill="1" applyAlignment="1" applyProtection="1">
      <alignment horizontal="center"/>
    </xf>
    <xf numFmtId="0" fontId="1" fillId="7" borderId="9" xfId="0" applyNumberFormat="1" applyFont="1" applyFill="1" applyBorder="1" applyAlignment="1" applyProtection="1">
      <alignment horizontal="left" indent="2"/>
    </xf>
    <xf numFmtId="0" fontId="1" fillId="3" borderId="2" xfId="0" applyNumberFormat="1" applyFont="1" applyFill="1" applyBorder="1" applyAlignment="1" applyProtection="1">
      <protection hidden="1"/>
    </xf>
    <xf numFmtId="37" fontId="9" fillId="4" borderId="2" xfId="0" applyNumberFormat="1" applyFont="1" applyFill="1" applyBorder="1" applyAlignment="1" applyProtection="1">
      <protection locked="0" hidden="1"/>
    </xf>
    <xf numFmtId="37" fontId="9" fillId="5" borderId="2" xfId="0" applyNumberFormat="1" applyFont="1" applyFill="1" applyBorder="1" applyAlignment="1" applyProtection="1">
      <protection locked="0" hidden="1"/>
    </xf>
    <xf numFmtId="0" fontId="1" fillId="3" borderId="9" xfId="0" applyNumberFormat="1" applyFont="1" applyFill="1" applyBorder="1" applyAlignment="1" applyProtection="1">
      <alignment horizontal="left" indent="2"/>
    </xf>
    <xf numFmtId="37" fontId="1" fillId="4" borderId="2" xfId="0" applyNumberFormat="1" applyFont="1" applyFill="1" applyBorder="1" applyAlignment="1" applyProtection="1">
      <alignment horizontal="right"/>
      <protection hidden="1"/>
    </xf>
    <xf numFmtId="0" fontId="1" fillId="5" borderId="9" xfId="0" applyNumberFormat="1" applyFont="1" applyFill="1" applyBorder="1" applyAlignment="1" applyProtection="1">
      <alignment horizontal="left" indent="2"/>
    </xf>
    <xf numFmtId="0" fontId="1" fillId="5" borderId="10" xfId="0" applyNumberFormat="1" applyFont="1" applyFill="1" applyBorder="1" applyAlignment="1" applyProtection="1">
      <alignment horizontal="left" indent="2"/>
    </xf>
    <xf numFmtId="37" fontId="9" fillId="4" borderId="2" xfId="0" applyNumberFormat="1" applyFont="1" applyFill="1" applyBorder="1" applyAlignment="1" applyProtection="1">
      <protection hidden="1"/>
    </xf>
    <xf numFmtId="0" fontId="1" fillId="5" borderId="2" xfId="0" applyNumberFormat="1" applyFont="1" applyFill="1" applyBorder="1" applyAlignment="1" applyProtection="1">
      <alignment horizontal="right"/>
      <protection hidden="1"/>
    </xf>
    <xf numFmtId="0" fontId="1" fillId="4" borderId="2" xfId="0" applyNumberFormat="1" applyFont="1" applyFill="1" applyBorder="1" applyAlignment="1" applyProtection="1">
      <alignment horizontal="right"/>
      <protection hidden="1"/>
    </xf>
    <xf numFmtId="0" fontId="1" fillId="3" borderId="2" xfId="0" applyNumberFormat="1" applyFont="1" applyFill="1" applyBorder="1" applyAlignment="1" applyProtection="1">
      <alignment horizontal="right"/>
      <protection hidden="1"/>
    </xf>
    <xf numFmtId="0" fontId="1" fillId="4" borderId="2" xfId="0" applyNumberFormat="1" applyFont="1" applyFill="1" applyBorder="1" applyAlignment="1" applyProtection="1">
      <protection hidden="1"/>
    </xf>
    <xf numFmtId="0" fontId="2" fillId="5" borderId="10" xfId="0" applyNumberFormat="1" applyFont="1" applyFill="1" applyBorder="1" applyAlignment="1" applyProtection="1">
      <alignment horizontal="left"/>
    </xf>
    <xf numFmtId="0" fontId="7" fillId="2" borderId="13" xfId="0" applyNumberFormat="1" applyFont="1" applyFill="1" applyBorder="1" applyAlignment="1" applyProtection="1">
      <alignment horizontal="left" vertical="top"/>
    </xf>
    <xf numFmtId="0" fontId="7" fillId="2" borderId="13" xfId="0" applyNumberFormat="1" applyFont="1" applyFill="1" applyBorder="1" applyAlignment="1" applyProtection="1">
      <alignment horizontal="left"/>
    </xf>
    <xf numFmtId="0" fontId="45" fillId="2" borderId="13" xfId="0" applyNumberFormat="1" applyFont="1" applyFill="1" applyBorder="1" applyAlignment="1" applyProtection="1">
      <alignment vertical="top" wrapText="1"/>
    </xf>
    <xf numFmtId="0" fontId="3" fillId="2" borderId="14" xfId="0" applyNumberFormat="1" applyFont="1" applyFill="1" applyBorder="1" applyAlignment="1" applyProtection="1"/>
    <xf numFmtId="0" fontId="3" fillId="2" borderId="0" xfId="0" applyNumberFormat="1" applyFont="1" applyFill="1" applyAlignment="1" applyProtection="1"/>
    <xf numFmtId="0" fontId="45" fillId="2" borderId="3" xfId="0" applyNumberFormat="1" applyFont="1" applyFill="1" applyBorder="1" applyAlignment="1" applyProtection="1">
      <alignment vertical="top" wrapText="1"/>
    </xf>
    <xf numFmtId="0" fontId="50" fillId="2" borderId="8" xfId="0" applyNumberFormat="1" applyFont="1" applyFill="1" applyBorder="1" applyAlignment="1" applyProtection="1">
      <alignment horizontal="right" wrapText="1"/>
    </xf>
    <xf numFmtId="0" fontId="20" fillId="2" borderId="0" xfId="0" applyNumberFormat="1" applyFont="1" applyFill="1" applyAlignment="1" applyProtection="1"/>
    <xf numFmtId="0" fontId="50" fillId="2" borderId="6" xfId="0" applyNumberFormat="1" applyFont="1" applyFill="1" applyBorder="1" applyAlignment="1" applyProtection="1">
      <alignment horizontal="right"/>
    </xf>
    <xf numFmtId="37" fontId="8" fillId="4" borderId="2" xfId="0" applyNumberFormat="1" applyFont="1" applyFill="1" applyBorder="1" applyAlignment="1" applyProtection="1">
      <protection locked="0"/>
    </xf>
    <xf numFmtId="37" fontId="1" fillId="4" borderId="2" xfId="0" applyNumberFormat="1" applyFont="1" applyFill="1" applyBorder="1" applyAlignment="1" applyProtection="1"/>
    <xf numFmtId="0" fontId="1" fillId="4" borderId="9" xfId="0" applyNumberFormat="1" applyFont="1" applyFill="1" applyBorder="1" applyAlignment="1" applyProtection="1">
      <alignment horizontal="left" wrapText="1" indent="1"/>
    </xf>
    <xf numFmtId="0" fontId="1" fillId="4" borderId="10" xfId="0" applyNumberFormat="1" applyFont="1" applyFill="1" applyBorder="1" applyAlignment="1" applyProtection="1">
      <alignment horizontal="left" wrapText="1" indent="1"/>
    </xf>
    <xf numFmtId="0" fontId="1" fillId="4" borderId="8" xfId="0" applyNumberFormat="1" applyFont="1" applyFill="1" applyBorder="1" applyAlignment="1" applyProtection="1">
      <alignment horizontal="left" wrapText="1" indent="2"/>
    </xf>
    <xf numFmtId="0" fontId="1" fillId="4" borderId="9" xfId="0" applyNumberFormat="1" applyFont="1" applyFill="1" applyBorder="1" applyAlignment="1" applyProtection="1">
      <alignment horizontal="left" wrapText="1" indent="2"/>
    </xf>
    <xf numFmtId="0" fontId="1" fillId="4" borderId="10" xfId="0" applyNumberFormat="1" applyFont="1" applyFill="1" applyBorder="1" applyAlignment="1" applyProtection="1">
      <alignment horizontal="left" wrapText="1" indent="2"/>
    </xf>
    <xf numFmtId="0" fontId="1" fillId="5" borderId="9" xfId="0" applyNumberFormat="1" applyFont="1" applyFill="1" applyBorder="1" applyAlignment="1" applyProtection="1">
      <alignment horizontal="left" wrapText="1" indent="1"/>
    </xf>
    <xf numFmtId="0" fontId="1" fillId="5" borderId="10" xfId="0" applyNumberFormat="1" applyFont="1" applyFill="1" applyBorder="1" applyAlignment="1" applyProtection="1">
      <alignment horizontal="left" wrapText="1" indent="1"/>
    </xf>
    <xf numFmtId="37" fontId="8" fillId="5" borderId="2" xfId="0" applyNumberFormat="1" applyFont="1" applyFill="1" applyBorder="1" applyAlignment="1" applyProtection="1"/>
    <xf numFmtId="37" fontId="9" fillId="4" borderId="2" xfId="0" applyNumberFormat="1" applyFont="1" applyFill="1" applyBorder="1" applyAlignment="1" applyProtection="1">
      <protection locked="0"/>
    </xf>
    <xf numFmtId="37" fontId="9" fillId="4" borderId="2" xfId="0" applyNumberFormat="1" applyFont="1" applyFill="1" applyBorder="1" applyAlignment="1" applyProtection="1"/>
    <xf numFmtId="37" fontId="8" fillId="4" borderId="2" xfId="0" applyNumberFormat="1" applyFont="1" applyFill="1" applyBorder="1" applyAlignment="1" applyProtection="1"/>
    <xf numFmtId="0" fontId="12" fillId="4" borderId="8" xfId="0" applyNumberFormat="1" applyFont="1" applyFill="1" applyBorder="1" applyAlignment="1" applyProtection="1">
      <alignment horizontal="left"/>
    </xf>
    <xf numFmtId="0" fontId="12" fillId="4" borderId="9" xfId="0" applyNumberFormat="1" applyFont="1" applyFill="1" applyBorder="1" applyAlignment="1" applyProtection="1">
      <alignment horizontal="left"/>
    </xf>
    <xf numFmtId="0" fontId="12" fillId="4" borderId="10" xfId="0" applyNumberFormat="1" applyFont="1" applyFill="1" applyBorder="1" applyAlignment="1" applyProtection="1">
      <alignment horizontal="left"/>
    </xf>
    <xf numFmtId="0" fontId="2" fillId="3" borderId="2" xfId="0" applyNumberFormat="1" applyFont="1" applyFill="1" applyBorder="1" applyAlignment="1" applyProtection="1">
      <alignment horizontal="left"/>
    </xf>
    <xf numFmtId="0" fontId="45" fillId="3" borderId="2" xfId="0" applyNumberFormat="1" applyFont="1" applyFill="1" applyBorder="1" applyAlignment="1" applyProtection="1">
      <alignment horizontal="left"/>
    </xf>
    <xf numFmtId="0" fontId="12" fillId="5" borderId="9" xfId="0" applyNumberFormat="1" applyFont="1" applyFill="1" applyBorder="1" applyAlignment="1" applyProtection="1">
      <alignment horizontal="left" wrapText="1"/>
    </xf>
    <xf numFmtId="0" fontId="10" fillId="2" borderId="1" xfId="0" applyNumberFormat="1" applyFont="1" applyFill="1" applyBorder="1" applyAlignment="1" applyProtection="1">
      <alignment horizontal="left"/>
    </xf>
    <xf numFmtId="0" fontId="10" fillId="2" borderId="12" xfId="0" applyNumberFormat="1" applyFont="1" applyFill="1" applyBorder="1" applyAlignment="1" applyProtection="1">
      <alignment vertical="top" wrapText="1"/>
    </xf>
    <xf numFmtId="0" fontId="7" fillId="2" borderId="14" xfId="0" applyNumberFormat="1" applyFont="1" applyFill="1" applyBorder="1" applyAlignment="1" applyProtection="1">
      <alignment horizontal="left"/>
    </xf>
    <xf numFmtId="0" fontId="7" fillId="2" borderId="0" xfId="0" applyNumberFormat="1" applyFont="1" applyFill="1" applyAlignment="1" applyProtection="1">
      <alignment horizontal="left"/>
    </xf>
    <xf numFmtId="0" fontId="10" fillId="0" borderId="0" xfId="0" applyNumberFormat="1" applyFont="1" applyFill="1" applyAlignment="1" applyProtection="1">
      <alignment horizontal="left" vertical="top" wrapText="1"/>
    </xf>
    <xf numFmtId="0" fontId="7" fillId="2" borderId="16" xfId="0" applyNumberFormat="1" applyFont="1" applyFill="1" applyBorder="1" applyAlignment="1" applyProtection="1">
      <alignment horizontal="left"/>
    </xf>
    <xf numFmtId="0" fontId="7" fillId="2" borderId="3" xfId="0" applyNumberFormat="1" applyFont="1" applyFill="1" applyBorder="1" applyAlignment="1" applyProtection="1">
      <alignment horizontal="left"/>
    </xf>
    <xf numFmtId="0" fontId="1" fillId="9" borderId="2" xfId="0" applyNumberFormat="1" applyFont="1" applyFill="1" applyBorder="1" applyAlignment="1" applyProtection="1"/>
    <xf numFmtId="0" fontId="2" fillId="3" borderId="16" xfId="0" applyNumberFormat="1" applyFont="1" applyFill="1" applyBorder="1" applyAlignment="1" applyProtection="1">
      <alignment horizontal="left"/>
    </xf>
    <xf numFmtId="0" fontId="1" fillId="4" borderId="2" xfId="0" applyNumberFormat="1" applyFont="1" applyFill="1" applyBorder="1" applyAlignment="1" applyProtection="1"/>
    <xf numFmtId="0" fontId="10" fillId="2" borderId="15" xfId="0" applyNumberFormat="1" applyFont="1" applyFill="1" applyBorder="1" applyAlignment="1" applyProtection="1">
      <alignment vertical="top" wrapText="1"/>
    </xf>
    <xf numFmtId="0" fontId="1" fillId="9" borderId="14" xfId="0" applyNumberFormat="1" applyFont="1" applyFill="1" applyBorder="1" applyAlignment="1" applyProtection="1"/>
    <xf numFmtId="0" fontId="2" fillId="3" borderId="3" xfId="0" applyNumberFormat="1" applyFont="1" applyFill="1" applyBorder="1" applyAlignment="1" applyProtection="1">
      <alignment horizontal="left"/>
    </xf>
    <xf numFmtId="0" fontId="1" fillId="3" borderId="6" xfId="0" applyNumberFormat="1" applyFont="1" applyFill="1" applyBorder="1" applyAlignment="1" applyProtection="1"/>
    <xf numFmtId="0" fontId="2" fillId="3" borderId="2" xfId="0" applyNumberFormat="1" applyFont="1" applyFill="1" applyBorder="1" applyAlignment="1" applyProtection="1">
      <alignment horizontal="right"/>
    </xf>
    <xf numFmtId="2" fontId="9" fillId="7" borderId="2" xfId="0" applyNumberFormat="1" applyFont="1" applyFill="1" applyBorder="1" applyAlignment="1" applyProtection="1">
      <alignment horizontal="right"/>
      <protection locked="0"/>
    </xf>
    <xf numFmtId="0" fontId="10" fillId="0" borderId="0" xfId="0" applyNumberFormat="1" applyFont="1" applyFill="1" applyAlignment="1" applyProtection="1">
      <alignment horizontal="center" vertical="top" wrapText="1"/>
    </xf>
    <xf numFmtId="0" fontId="7" fillId="2" borderId="11" xfId="0" applyNumberFormat="1" applyFont="1" applyFill="1" applyBorder="1" applyAlignment="1" applyProtection="1">
      <alignment horizontal="left"/>
    </xf>
    <xf numFmtId="0" fontId="2" fillId="3" borderId="11" xfId="0" applyNumberFormat="1" applyFont="1" applyFill="1" applyBorder="1" applyAlignment="1" applyProtection="1">
      <alignment horizontal="left"/>
    </xf>
    <xf numFmtId="37" fontId="1" fillId="3" borderId="6" xfId="0" applyNumberFormat="1" applyFont="1" applyFill="1" applyBorder="1" applyAlignment="1" applyProtection="1"/>
    <xf numFmtId="0" fontId="10" fillId="2" borderId="1" xfId="0" applyNumberFormat="1" applyFont="1" applyFill="1" applyBorder="1" applyAlignment="1" applyProtection="1"/>
    <xf numFmtId="0" fontId="10" fillId="2" borderId="2" xfId="0" applyNumberFormat="1" applyFont="1" applyFill="1" applyBorder="1" applyAlignment="1" applyProtection="1">
      <alignment horizontal="center"/>
    </xf>
    <xf numFmtId="0" fontId="22" fillId="2" borderId="2" xfId="0" applyNumberFormat="1" applyFont="1" applyFill="1" applyBorder="1" applyAlignment="1" applyProtection="1">
      <alignment horizontal="center"/>
    </xf>
    <xf numFmtId="0" fontId="26" fillId="2" borderId="4" xfId="0" applyNumberFormat="1" applyFont="1" applyFill="1" applyBorder="1" applyAlignment="1" applyProtection="1">
      <alignment horizontal="right" wrapText="1"/>
    </xf>
    <xf numFmtId="0" fontId="19" fillId="2" borderId="16" xfId="0" applyNumberFormat="1" applyFont="1" applyFill="1" applyBorder="1" applyAlignment="1" applyProtection="1"/>
    <xf numFmtId="0" fontId="19" fillId="2" borderId="3" xfId="0" applyNumberFormat="1" applyFont="1" applyFill="1" applyBorder="1" applyAlignment="1" applyProtection="1"/>
    <xf numFmtId="0" fontId="19" fillId="2" borderId="11" xfId="0" applyNumberFormat="1" applyFont="1" applyFill="1" applyBorder="1" applyAlignment="1" applyProtection="1"/>
    <xf numFmtId="0" fontId="21" fillId="3" borderId="2" xfId="0" applyNumberFormat="1" applyFont="1" applyFill="1" applyBorder="1" applyAlignment="1" applyProtection="1"/>
    <xf numFmtId="0" fontId="1" fillId="6" borderId="2" xfId="0" applyNumberFormat="1" applyFont="1" applyFill="1" applyBorder="1" applyAlignment="1" applyProtection="1">
      <alignment horizontal="right"/>
    </xf>
    <xf numFmtId="0" fontId="12" fillId="5" borderId="2" xfId="0" applyNumberFormat="1" applyFont="1" applyFill="1" applyBorder="1" applyAlignment="1" applyProtection="1">
      <alignment horizontal="right"/>
    </xf>
    <xf numFmtId="0" fontId="1" fillId="5" borderId="2" xfId="0" applyNumberFormat="1" applyFont="1" applyFill="1" applyBorder="1" applyAlignment="1" applyProtection="1">
      <alignment horizontal="right"/>
    </xf>
    <xf numFmtId="37" fontId="23" fillId="6" borderId="2" xfId="0" applyNumberFormat="1" applyFont="1" applyFill="1" applyBorder="1" applyAlignment="1" applyProtection="1"/>
    <xf numFmtId="0" fontId="1" fillId="6" borderId="8" xfId="0" applyNumberFormat="1" applyFont="1" applyFill="1" applyBorder="1" applyAlignment="1" applyProtection="1">
      <alignment horizontal="left" indent="2"/>
    </xf>
    <xf numFmtId="0" fontId="1" fillId="6" borderId="9" xfId="0" applyNumberFormat="1" applyFont="1" applyFill="1" applyBorder="1" applyAlignment="1" applyProtection="1">
      <alignment horizontal="left" indent="2"/>
    </xf>
    <xf numFmtId="0" fontId="1" fillId="6" borderId="10" xfId="0" applyNumberFormat="1" applyFont="1" applyFill="1" applyBorder="1" applyAlignment="1" applyProtection="1">
      <alignment horizontal="left" indent="2"/>
    </xf>
    <xf numFmtId="0" fontId="7" fillId="2" borderId="14" xfId="0" applyNumberFormat="1" applyFont="1" applyFill="1" applyBorder="1" applyAlignment="1" applyProtection="1"/>
    <xf numFmtId="0" fontId="7" fillId="2" borderId="0" xfId="0" applyNumberFormat="1" applyFont="1" applyFill="1" applyAlignment="1" applyProtection="1"/>
    <xf numFmtId="0" fontId="7" fillId="2" borderId="4" xfId="0" applyNumberFormat="1" applyFont="1" applyFill="1" applyBorder="1" applyAlignment="1" applyProtection="1">
      <alignment horizontal="center" wrapText="1"/>
    </xf>
    <xf numFmtId="0" fontId="7" fillId="2" borderId="15" xfId="0" applyNumberFormat="1" applyFont="1" applyFill="1" applyBorder="1" applyAlignment="1" applyProtection="1"/>
    <xf numFmtId="0" fontId="3" fillId="2" borderId="4" xfId="0" applyNumberFormat="1" applyFont="1" applyFill="1" applyBorder="1" applyAlignment="1" applyProtection="1">
      <alignment horizontal="right" wrapText="1"/>
    </xf>
    <xf numFmtId="0" fontId="7" fillId="2" borderId="3" xfId="0" applyNumberFormat="1" applyFont="1" applyFill="1" applyBorder="1" applyAlignment="1" applyProtection="1"/>
    <xf numFmtId="0" fontId="7" fillId="2" borderId="11" xfId="0" applyNumberFormat="1" applyFont="1" applyFill="1" applyBorder="1" applyAlignment="1" applyProtection="1"/>
    <xf numFmtId="0" fontId="9" fillId="3" borderId="2" xfId="0" applyNumberFormat="1" applyFont="1" applyFill="1" applyBorder="1" applyAlignment="1" applyProtection="1"/>
    <xf numFmtId="37" fontId="9" fillId="3" borderId="2" xfId="0" applyNumberFormat="1" applyFont="1" applyFill="1" applyBorder="1" applyAlignment="1" applyProtection="1"/>
    <xf numFmtId="0" fontId="15" fillId="2" borderId="13" xfId="0" applyNumberFormat="1" applyFont="1" applyFill="1" applyBorder="1" applyAlignment="1" applyProtection="1">
      <alignment vertical="top" wrapText="1"/>
    </xf>
    <xf numFmtId="0" fontId="12" fillId="0" borderId="0" xfId="0" applyNumberFormat="1" applyFont="1" applyFill="1" applyAlignment="1" applyProtection="1">
      <alignment wrapText="1"/>
      <protection locked="0"/>
    </xf>
    <xf numFmtId="0" fontId="12" fillId="0" borderId="0" xfId="0" quotePrefix="1" applyNumberFormat="1" applyFont="1" applyFill="1" applyAlignment="1" applyProtection="1">
      <alignment wrapText="1"/>
      <protection locked="0"/>
    </xf>
    <xf numFmtId="0" fontId="2" fillId="7" borderId="10" xfId="0" applyNumberFormat="1" applyFont="1" applyFill="1" applyBorder="1" applyAlignment="1" applyProtection="1"/>
    <xf numFmtId="37" fontId="12" fillId="5" borderId="8" xfId="0" applyNumberFormat="1" applyFont="1" applyFill="1" applyBorder="1" applyAlignment="1" applyProtection="1"/>
    <xf numFmtId="0" fontId="8" fillId="7" borderId="8" xfId="0" applyNumberFormat="1" applyFont="1" applyFill="1" applyBorder="1" applyAlignment="1" applyProtection="1"/>
    <xf numFmtId="0" fontId="10" fillId="2" borderId="13" xfId="0" applyNumberFormat="1" applyFont="1" applyFill="1" applyBorder="1" applyAlignment="1" applyProtection="1">
      <alignment vertical="center" wrapText="1"/>
    </xf>
    <xf numFmtId="0" fontId="38" fillId="2" borderId="13" xfId="0" applyNumberFormat="1" applyFont="1" applyFill="1" applyBorder="1" applyAlignment="1" applyProtection="1"/>
    <xf numFmtId="0" fontId="38" fillId="2" borderId="12" xfId="0" applyNumberFormat="1" applyFont="1" applyFill="1" applyBorder="1" applyAlignment="1" applyProtection="1"/>
    <xf numFmtId="0" fontId="10" fillId="2" borderId="3" xfId="0" applyNumberFormat="1" applyFont="1" applyFill="1" applyBorder="1" applyAlignment="1" applyProtection="1">
      <alignment vertical="center" wrapText="1"/>
    </xf>
    <xf numFmtId="0" fontId="38" fillId="2" borderId="0" xfId="0" applyNumberFormat="1" applyFont="1" applyFill="1" applyAlignment="1" applyProtection="1"/>
    <xf numFmtId="0" fontId="38" fillId="2" borderId="3" xfId="0" applyNumberFormat="1" applyFont="1" applyFill="1" applyBorder="1" applyAlignment="1" applyProtection="1"/>
    <xf numFmtId="0" fontId="38" fillId="2" borderId="11" xfId="0" applyNumberFormat="1" applyFont="1" applyFill="1" applyBorder="1" applyAlignment="1" applyProtection="1"/>
    <xf numFmtId="0" fontId="26" fillId="2" borderId="14" xfId="0" applyNumberFormat="1" applyFont="1" applyFill="1" applyBorder="1" applyAlignment="1" applyProtection="1"/>
    <xf numFmtId="0" fontId="26" fillId="2" borderId="0" xfId="0" applyNumberFormat="1" applyFont="1" applyFill="1" applyAlignment="1" applyProtection="1">
      <alignment vertical="center" wrapText="1"/>
    </xf>
    <xf numFmtId="0" fontId="0" fillId="2" borderId="0" xfId="0" applyNumberFormat="1" applyFill="1" applyAlignment="1" applyProtection="1"/>
    <xf numFmtId="0" fontId="26" fillId="2" borderId="0" xfId="0" applyNumberFormat="1" applyFont="1" applyFill="1" applyAlignment="1" applyProtection="1"/>
    <xf numFmtId="168" fontId="1" fillId="11" borderId="2" xfId="0" applyNumberFormat="1" applyFont="1" applyFill="1" applyBorder="1" applyAlignment="1" applyProtection="1">
      <protection locked="0"/>
    </xf>
    <xf numFmtId="0" fontId="1" fillId="4" borderId="0" xfId="0" applyNumberFormat="1" applyFont="1" applyFill="1" applyAlignment="1" applyProtection="1">
      <alignment horizontal="left"/>
    </xf>
    <xf numFmtId="0" fontId="12" fillId="7" borderId="13" xfId="0" applyNumberFormat="1" applyFont="1" applyFill="1" applyBorder="1" applyAlignment="1" applyProtection="1">
      <alignment horizontal="left"/>
    </xf>
    <xf numFmtId="168" fontId="9" fillId="7" borderId="8" xfId="0" applyNumberFormat="1" applyFont="1" applyFill="1" applyBorder="1" applyAlignment="1" applyProtection="1">
      <alignment horizontal="center"/>
    </xf>
    <xf numFmtId="168" fontId="9" fillId="7" borderId="10" xfId="0" applyNumberFormat="1" applyFont="1" applyFill="1" applyBorder="1" applyAlignment="1" applyProtection="1">
      <alignment horizontal="center"/>
    </xf>
    <xf numFmtId="168" fontId="1" fillId="11" borderId="0" xfId="0" applyNumberFormat="1" applyFont="1" applyFill="1" applyAlignment="1" applyProtection="1">
      <protection locked="0"/>
    </xf>
    <xf numFmtId="0" fontId="1" fillId="3" borderId="8" xfId="0" applyNumberFormat="1" applyFont="1" applyFill="1" applyBorder="1" applyAlignment="1" applyProtection="1">
      <alignment horizontal="left"/>
    </xf>
    <xf numFmtId="0" fontId="1" fillId="3" borderId="9" xfId="0" applyNumberFormat="1" applyFont="1" applyFill="1" applyBorder="1" applyAlignment="1" applyProtection="1">
      <alignment horizontal="left"/>
    </xf>
    <xf numFmtId="0" fontId="0" fillId="3" borderId="0" xfId="0" applyNumberFormat="1" applyFill="1" applyAlignment="1" applyProtection="1"/>
    <xf numFmtId="0" fontId="12" fillId="3" borderId="13" xfId="0" applyNumberFormat="1" applyFont="1" applyFill="1" applyBorder="1" applyAlignment="1" applyProtection="1"/>
    <xf numFmtId="0" fontId="12" fillId="3" borderId="9" xfId="0" applyNumberFormat="1" applyFont="1" applyFill="1" applyBorder="1" applyAlignment="1" applyProtection="1">
      <alignment horizontal="left" indent="1"/>
    </xf>
    <xf numFmtId="37" fontId="9" fillId="3" borderId="2" xfId="0" applyNumberFormat="1" applyFont="1" applyFill="1" applyBorder="1" applyAlignment="1" applyProtection="1">
      <alignment horizontal="right"/>
    </xf>
    <xf numFmtId="0" fontId="0" fillId="5" borderId="0" xfId="0" applyNumberFormat="1" applyFill="1" applyAlignment="1" applyProtection="1"/>
    <xf numFmtId="0" fontId="12" fillId="5" borderId="13" xfId="0" applyNumberFormat="1" applyFont="1" applyFill="1" applyBorder="1" applyAlignment="1" applyProtection="1"/>
    <xf numFmtId="0" fontId="12" fillId="5" borderId="9" xfId="0" applyNumberFormat="1" applyFont="1" applyFill="1" applyBorder="1" applyAlignment="1" applyProtection="1">
      <alignment horizontal="left" indent="1"/>
    </xf>
    <xf numFmtId="0" fontId="1" fillId="5" borderId="8" xfId="0" applyNumberFormat="1" applyFont="1" applyFill="1" applyBorder="1" applyAlignment="1" applyProtection="1">
      <alignment horizontal="right"/>
    </xf>
    <xf numFmtId="0" fontId="0" fillId="5" borderId="9" xfId="0" applyNumberFormat="1" applyFill="1" applyBorder="1" applyAlignment="1" applyProtection="1"/>
    <xf numFmtId="37" fontId="12" fillId="3" borderId="2" xfId="0" applyNumberFormat="1" applyFont="1" applyFill="1" applyBorder="1" applyAlignment="1" applyProtection="1">
      <alignment horizontal="right"/>
    </xf>
    <xf numFmtId="0" fontId="12" fillId="7" borderId="15" xfId="0" applyNumberFormat="1" applyFont="1" applyFill="1" applyBorder="1" applyAlignment="1" applyProtection="1"/>
    <xf numFmtId="0" fontId="2" fillId="7" borderId="3" xfId="0" applyNumberFormat="1" applyFont="1" applyFill="1" applyBorder="1" applyAlignment="1" applyProtection="1"/>
    <xf numFmtId="37" fontId="1" fillId="7" borderId="2" xfId="0" applyNumberFormat="1" applyFont="1" applyFill="1" applyBorder="1" applyAlignment="1" applyProtection="1">
      <alignment horizontal="left" wrapText="1"/>
      <protection locked="0"/>
    </xf>
    <xf numFmtId="37" fontId="1" fillId="7" borderId="0" xfId="0" applyNumberFormat="1" applyFont="1" applyFill="1" applyAlignment="1" applyProtection="1">
      <alignment horizontal="left" wrapText="1"/>
      <protection locked="0"/>
    </xf>
    <xf numFmtId="0" fontId="37" fillId="5" borderId="9" xfId="0" applyNumberFormat="1" applyFont="1" applyFill="1" applyBorder="1" applyAlignment="1" applyProtection="1"/>
    <xf numFmtId="0" fontId="8" fillId="5" borderId="9" xfId="0" applyNumberFormat="1" applyFont="1" applyFill="1" applyBorder="1" applyAlignment="1" applyProtection="1">
      <alignment horizontal="left" indent="1"/>
    </xf>
    <xf numFmtId="0" fontId="1" fillId="7" borderId="9" xfId="0" applyNumberFormat="1" applyFont="1" applyFill="1" applyBorder="1" applyAlignment="1" applyProtection="1">
      <alignment horizontal="right"/>
    </xf>
    <xf numFmtId="0" fontId="0" fillId="7" borderId="9" xfId="0" applyNumberFormat="1" applyFill="1" applyBorder="1" applyAlignment="1" applyProtection="1"/>
    <xf numFmtId="37" fontId="1" fillId="7" borderId="9" xfId="0" applyNumberFormat="1" applyFont="1" applyFill="1" applyBorder="1" applyAlignment="1" applyProtection="1">
      <alignment horizontal="right"/>
    </xf>
    <xf numFmtId="37" fontId="1" fillId="7" borderId="10" xfId="0" applyNumberFormat="1" applyFont="1" applyFill="1" applyBorder="1" applyAlignment="1" applyProtection="1">
      <alignment horizontal="right"/>
    </xf>
    <xf numFmtId="0" fontId="0" fillId="11" borderId="2" xfId="0" applyNumberFormat="1" applyFill="1" applyBorder="1" applyAlignment="1" applyProtection="1"/>
    <xf numFmtId="0" fontId="12" fillId="9" borderId="8" xfId="0" applyNumberFormat="1" applyFont="1" applyFill="1" applyBorder="1" applyAlignment="1" applyProtection="1">
      <alignment horizontal="right"/>
    </xf>
    <xf numFmtId="0" fontId="12" fillId="7" borderId="9" xfId="0" applyNumberFormat="1" applyFont="1" applyFill="1" applyBorder="1" applyAlignment="1" applyProtection="1">
      <alignment horizontal="right"/>
    </xf>
    <xf numFmtId="0" fontId="12" fillId="9" borderId="2" xfId="0" applyNumberFormat="1" applyFont="1" applyFill="1" applyBorder="1" applyAlignment="1" applyProtection="1">
      <alignment horizontal="right" vertical="top"/>
    </xf>
    <xf numFmtId="0" fontId="1" fillId="4" borderId="9" xfId="0" applyNumberFormat="1" applyFont="1" applyFill="1" applyBorder="1" applyAlignment="1" applyProtection="1">
      <alignment vertical="top" wrapText="1"/>
    </xf>
    <xf numFmtId="0" fontId="2" fillId="3" borderId="8" xfId="0" applyNumberFormat="1" applyFont="1" applyFill="1" applyBorder="1" applyAlignment="1" applyProtection="1">
      <alignment vertical="center"/>
    </xf>
    <xf numFmtId="0" fontId="2" fillId="3" borderId="9" xfId="0" applyNumberFormat="1" applyFont="1" applyFill="1" applyBorder="1" applyAlignment="1" applyProtection="1">
      <alignment vertical="center"/>
    </xf>
    <xf numFmtId="0" fontId="12" fillId="3" borderId="9" xfId="0" applyNumberFormat="1" applyFont="1" applyFill="1" applyBorder="1" applyAlignment="1" applyProtection="1">
      <alignment vertical="center"/>
    </xf>
    <xf numFmtId="167" fontId="9" fillId="7" borderId="2" xfId="0" applyNumberFormat="1" applyFont="1" applyFill="1" applyBorder="1" applyAlignment="1" applyProtection="1">
      <alignment horizontal="right"/>
      <protection locked="0"/>
    </xf>
    <xf numFmtId="0" fontId="2" fillId="3" borderId="8" xfId="0" applyNumberFormat="1" applyFont="1" applyFill="1" applyBorder="1" applyAlignment="1" applyProtection="1">
      <alignment horizontal="right"/>
    </xf>
    <xf numFmtId="37" fontId="9" fillId="5" borderId="2" xfId="0" applyNumberFormat="1" applyFont="1" applyFill="1" applyBorder="1" applyAlignment="1" applyProtection="1">
      <alignment horizontal="right"/>
    </xf>
    <xf numFmtId="0" fontId="2" fillId="7" borderId="0" xfId="0" applyNumberFormat="1" applyFont="1" applyFill="1" applyAlignment="1" applyProtection="1"/>
    <xf numFmtId="0" fontId="11" fillId="7" borderId="0" xfId="0" applyNumberFormat="1" applyFont="1" applyFill="1" applyAlignment="1" applyProtection="1"/>
    <xf numFmtId="0" fontId="12" fillId="7" borderId="0" xfId="0" applyNumberFormat="1" applyFont="1" applyFill="1" applyAlignment="1" applyProtection="1">
      <alignment horizontal="right"/>
    </xf>
    <xf numFmtId="2" fontId="8" fillId="7" borderId="2" xfId="0" applyNumberFormat="1" applyFont="1" applyFill="1" applyBorder="1" applyAlignment="1" applyProtection="1">
      <alignment horizontal="right"/>
      <protection locked="0"/>
    </xf>
    <xf numFmtId="2" fontId="1" fillId="5" borderId="2" xfId="0" applyNumberFormat="1" applyFont="1" applyFill="1" applyBorder="1" applyAlignment="1" applyProtection="1">
      <alignment horizontal="right"/>
    </xf>
    <xf numFmtId="2" fontId="51" fillId="5" borderId="2" xfId="0" applyNumberFormat="1" applyFont="1" applyFill="1" applyBorder="1" applyAlignment="1" applyProtection="1">
      <alignment horizontal="right"/>
      <protection locked="0"/>
    </xf>
    <xf numFmtId="0" fontId="0" fillId="7" borderId="3" xfId="0" applyNumberFormat="1" applyFill="1" applyBorder="1" applyAlignment="1" applyProtection="1"/>
    <xf numFmtId="0" fontId="0" fillId="7" borderId="0" xfId="0" applyNumberFormat="1" applyFill="1" applyAlignment="1" applyProtection="1"/>
    <xf numFmtId="0" fontId="11" fillId="3" borderId="2" xfId="0" applyNumberFormat="1" applyFont="1" applyFill="1" applyBorder="1" applyAlignment="1" applyProtection="1">
      <alignment horizontal="right" wrapText="1"/>
    </xf>
    <xf numFmtId="0" fontId="40" fillId="7" borderId="3" xfId="0" applyNumberFormat="1" applyFont="1" applyFill="1" applyBorder="1" applyAlignment="1" applyProtection="1"/>
    <xf numFmtId="0" fontId="40" fillId="7" borderId="0" xfId="0" applyNumberFormat="1" applyFont="1" applyFill="1" applyAlignment="1" applyProtection="1"/>
    <xf numFmtId="0" fontId="40" fillId="7" borderId="1" xfId="0" applyNumberFormat="1" applyFont="1" applyFill="1" applyBorder="1" applyAlignment="1" applyProtection="1">
      <alignment horizontal="center"/>
    </xf>
    <xf numFmtId="0" fontId="12" fillId="7" borderId="13" xfId="0" applyNumberFormat="1" applyFont="1" applyFill="1" applyBorder="1" applyAlignment="1" applyProtection="1">
      <alignment horizontal="left" indent="1"/>
    </xf>
    <xf numFmtId="0" fontId="40" fillId="7" borderId="8" xfId="0" applyNumberFormat="1" applyFont="1" applyFill="1" applyBorder="1" applyAlignment="1" applyProtection="1"/>
    <xf numFmtId="0" fontId="40" fillId="7" borderId="9" xfId="0" applyNumberFormat="1" applyFont="1" applyFill="1" applyBorder="1" applyAlignment="1" applyProtection="1"/>
    <xf numFmtId="0" fontId="12" fillId="7" borderId="10" xfId="0" applyNumberFormat="1" applyFont="1" applyFill="1" applyBorder="1" applyAlignment="1" applyProtection="1">
      <alignment horizontal="left"/>
    </xf>
    <xf numFmtId="1" fontId="9" fillId="7" borderId="2" xfId="0" applyNumberFormat="1" applyFont="1" applyFill="1" applyBorder="1" applyAlignment="1" applyProtection="1">
      <alignment horizontal="right"/>
    </xf>
    <xf numFmtId="0" fontId="11" fillId="3" borderId="16" xfId="0" applyNumberFormat="1" applyFont="1" applyFill="1" applyBorder="1" applyAlignment="1" applyProtection="1"/>
    <xf numFmtId="37" fontId="36" fillId="7" borderId="2" xfId="0" applyNumberFormat="1" applyFont="1" applyFill="1" applyBorder="1" applyAlignment="1" applyProtection="1">
      <alignment horizontal="right"/>
    </xf>
    <xf numFmtId="0" fontId="28" fillId="2" borderId="14" xfId="0" applyNumberFormat="1" applyFont="1" applyFill="1" applyBorder="1" applyAlignment="1" applyProtection="1"/>
    <xf numFmtId="0" fontId="28" fillId="2" borderId="0" xfId="0" applyNumberFormat="1" applyFont="1" applyFill="1" applyAlignment="1" applyProtection="1"/>
    <xf numFmtId="0" fontId="28" fillId="2" borderId="26" xfId="0" applyNumberFormat="1" applyFont="1" applyFill="1" applyBorder="1" applyAlignment="1" applyProtection="1"/>
    <xf numFmtId="0" fontId="28" fillId="2" borderId="22" xfId="0" applyNumberFormat="1" applyFont="1" applyFill="1" applyBorder="1" applyAlignment="1" applyProtection="1"/>
    <xf numFmtId="0" fontId="29" fillId="2" borderId="27" xfId="0" applyNumberFormat="1" applyFont="1" applyFill="1" applyBorder="1" applyAlignment="1" applyProtection="1"/>
    <xf numFmtId="0" fontId="29" fillId="2" borderId="22" xfId="0" applyNumberFormat="1" applyFont="1" applyFill="1" applyBorder="1" applyAlignment="1" applyProtection="1"/>
    <xf numFmtId="0" fontId="28" fillId="2" borderId="25" xfId="0" applyNumberFormat="1" applyFont="1" applyFill="1" applyBorder="1" applyAlignment="1" applyProtection="1">
      <alignment horizontal="right"/>
    </xf>
    <xf numFmtId="0" fontId="2" fillId="3" borderId="17" xfId="0" applyNumberFormat="1" applyFont="1" applyFill="1" applyBorder="1" applyAlignment="1" applyProtection="1"/>
    <xf numFmtId="0" fontId="1" fillId="3" borderId="23" xfId="0" applyNumberFormat="1" applyFont="1" applyFill="1" applyBorder="1" applyAlignment="1" applyProtection="1">
      <alignment horizontal="left"/>
    </xf>
    <xf numFmtId="0" fontId="2" fillId="3" borderId="23" xfId="0" applyNumberFormat="1" applyFont="1" applyFill="1" applyBorder="1" applyAlignment="1" applyProtection="1"/>
    <xf numFmtId="0" fontId="2" fillId="3" borderId="18" xfId="0" applyNumberFormat="1" applyFont="1" applyFill="1" applyBorder="1" applyAlignment="1" applyProtection="1"/>
    <xf numFmtId="0" fontId="2" fillId="3" borderId="24" xfId="0" applyNumberFormat="1" applyFont="1" applyFill="1" applyBorder="1" applyAlignment="1" applyProtection="1"/>
    <xf numFmtId="0" fontId="2" fillId="0" borderId="19" xfId="0" applyNumberFormat="1" applyFont="1" applyFill="1" applyBorder="1" applyAlignment="1" applyProtection="1">
      <alignment vertical="center" wrapText="1"/>
    </xf>
    <xf numFmtId="0" fontId="2" fillId="0" borderId="2" xfId="0" applyNumberFormat="1" applyFont="1" applyFill="1" applyBorder="1" applyAlignment="1" applyProtection="1">
      <alignment vertical="center"/>
    </xf>
    <xf numFmtId="0" fontId="2" fillId="0" borderId="6" xfId="0" applyNumberFormat="1" applyFont="1" applyFill="1" applyBorder="1" applyAlignment="1" applyProtection="1">
      <alignment vertical="center"/>
    </xf>
    <xf numFmtId="0" fontId="2" fillId="0" borderId="2" xfId="0" applyNumberFormat="1" applyFont="1" applyFill="1" applyBorder="1" applyAlignment="1" applyProtection="1">
      <alignment vertical="center" wrapText="1"/>
    </xf>
    <xf numFmtId="0" fontId="2" fillId="0" borderId="20" xfId="0" applyNumberFormat="1" applyFont="1" applyFill="1" applyBorder="1" applyAlignment="1" applyProtection="1">
      <alignment horizontal="center" vertical="center"/>
    </xf>
    <xf numFmtId="0" fontId="1" fillId="8" borderId="21" xfId="0" applyNumberFormat="1" applyFont="1" applyFill="1" applyBorder="1" applyAlignment="1" applyProtection="1">
      <alignment horizontal="center"/>
    </xf>
    <xf numFmtId="0" fontId="1" fillId="8" borderId="19" xfId="0" applyNumberFormat="1" applyFont="1" applyFill="1" applyBorder="1" applyAlignment="1" applyProtection="1">
      <alignment horizontal="center"/>
    </xf>
    <xf numFmtId="0" fontId="1" fillId="0" borderId="18" xfId="0" applyNumberFormat="1" applyFont="1" applyFill="1" applyBorder="1" applyAlignment="1" applyProtection="1">
      <alignment vertical="top" wrapText="1"/>
    </xf>
    <xf numFmtId="0" fontId="1" fillId="0" borderId="0" xfId="0" applyNumberFormat="1" applyFont="1" applyFill="1" applyAlignment="1" applyProtection="1">
      <alignment vertical="top" wrapText="1"/>
    </xf>
    <xf numFmtId="0" fontId="1" fillId="0" borderId="0" xfId="0" applyNumberFormat="1" applyFont="1" applyFill="1" applyAlignment="1" applyProtection="1">
      <alignment horizontal="center"/>
    </xf>
    <xf numFmtId="0" fontId="42" fillId="12" borderId="0" xfId="0" applyNumberFormat="1" applyFont="1" applyFill="1" applyAlignment="1" applyProtection="1">
      <alignment horizontal="center"/>
    </xf>
    <xf numFmtId="0" fontId="41" fillId="0" borderId="0" xfId="0" applyFont="1" applyAlignment="1">
      <alignment horizontal="center"/>
    </xf>
    <xf numFmtId="0" fontId="1" fillId="0" borderId="9" xfId="1" applyFont="1" applyFill="1" applyBorder="1" applyAlignment="1">
      <alignment horizontal="left" vertical="center" wrapText="1"/>
    </xf>
    <xf numFmtId="0" fontId="1" fillId="0" borderId="9" xfId="1" applyFont="1" applyFill="1" applyBorder="1" applyAlignment="1" applyProtection="1">
      <alignment horizontal="left" vertical="center" wrapText="1"/>
      <protection hidden="1"/>
    </xf>
    <xf numFmtId="0" fontId="1" fillId="6" borderId="9" xfId="0" applyNumberFormat="1" applyFont="1" applyFill="1" applyBorder="1" applyAlignment="1" applyProtection="1">
      <alignment horizontal="left" vertical="center" wrapText="1"/>
      <protection hidden="1"/>
    </xf>
    <xf numFmtId="0" fontId="1" fillId="6" borderId="9" xfId="0" applyNumberFormat="1" applyFont="1" applyFill="1" applyBorder="1" applyAlignment="1" applyProtection="1">
      <alignment horizontal="left" vertical="center" wrapText="1"/>
    </xf>
    <xf numFmtId="37" fontId="1" fillId="6" borderId="9" xfId="0" applyNumberFormat="1" applyFont="1" applyFill="1" applyBorder="1" applyAlignment="1" applyProtection="1">
      <alignment horizontal="left" vertical="center" wrapText="1"/>
      <protection hidden="1"/>
    </xf>
    <xf numFmtId="0" fontId="2" fillId="0" borderId="0" xfId="0" applyNumberFormat="1" applyFont="1" applyFill="1" applyAlignment="1" applyProtection="1">
      <alignment horizontal="left" wrapText="1"/>
    </xf>
    <xf numFmtId="0" fontId="1" fillId="7" borderId="8" xfId="0" applyNumberFormat="1" applyFont="1" applyFill="1" applyBorder="1" applyAlignment="1" applyProtection="1">
      <alignment horizontal="left" wrapText="1"/>
    </xf>
    <xf numFmtId="0" fontId="1" fillId="7" borderId="9" xfId="0" applyNumberFormat="1" applyFont="1" applyFill="1" applyBorder="1" applyAlignment="1" applyProtection="1">
      <alignment horizontal="left" wrapText="1"/>
    </xf>
    <xf numFmtId="0" fontId="10" fillId="2" borderId="13" xfId="0" applyNumberFormat="1" applyFont="1" applyFill="1" applyBorder="1" applyAlignment="1" applyProtection="1">
      <alignment horizontal="left" vertical="center" wrapText="1"/>
    </xf>
    <xf numFmtId="0" fontId="10" fillId="2" borderId="0" xfId="0" applyNumberFormat="1" applyFont="1" applyFill="1" applyAlignment="1" applyProtection="1">
      <alignment horizontal="left" vertical="top" wrapText="1"/>
    </xf>
    <xf numFmtId="0" fontId="10" fillId="2" borderId="13" xfId="0" applyNumberFormat="1" applyFont="1" applyFill="1" applyBorder="1" applyAlignment="1" applyProtection="1">
      <alignment horizontal="left" vertical="top" wrapText="1"/>
    </xf>
    <xf numFmtId="0" fontId="26" fillId="2" borderId="8" xfId="0" applyNumberFormat="1" applyFont="1" applyFill="1" applyBorder="1" applyAlignment="1" applyProtection="1">
      <alignment horizontal="center" vertical="center" wrapText="1"/>
    </xf>
    <xf numFmtId="0" fontId="26" fillId="2" borderId="9" xfId="0" applyNumberFormat="1" applyFont="1" applyFill="1" applyBorder="1" applyAlignment="1" applyProtection="1">
      <alignment horizontal="center" vertical="center" wrapText="1"/>
    </xf>
    <xf numFmtId="0" fontId="26" fillId="2" borderId="10" xfId="0" applyNumberFormat="1" applyFont="1" applyFill="1" applyBorder="1" applyAlignment="1" applyProtection="1">
      <alignment horizontal="center" vertical="center" wrapText="1"/>
    </xf>
    <xf numFmtId="0" fontId="1" fillId="4" borderId="8" xfId="0" applyNumberFormat="1" applyFont="1" applyFill="1" applyBorder="1" applyAlignment="1" applyProtection="1">
      <alignment horizontal="left" wrapText="1"/>
    </xf>
    <xf numFmtId="0" fontId="1" fillId="4" borderId="9" xfId="0" applyNumberFormat="1" applyFont="1" applyFill="1" applyBorder="1" applyAlignment="1" applyProtection="1">
      <alignment horizontal="left" wrapText="1"/>
    </xf>
    <xf numFmtId="0" fontId="10" fillId="2" borderId="8" xfId="0" applyNumberFormat="1" applyFont="1" applyFill="1" applyBorder="1" applyAlignment="1" applyProtection="1">
      <alignment horizontal="center" wrapText="1"/>
    </xf>
    <xf numFmtId="0" fontId="10" fillId="2" borderId="9" xfId="0" applyNumberFormat="1" applyFont="1" applyFill="1" applyBorder="1" applyAlignment="1" applyProtection="1">
      <alignment horizontal="center" wrapText="1"/>
    </xf>
    <xf numFmtId="0" fontId="10" fillId="2" borderId="10" xfId="0" applyNumberFormat="1" applyFont="1" applyFill="1" applyBorder="1" applyAlignment="1" applyProtection="1">
      <alignment horizontal="center" wrapText="1"/>
    </xf>
    <xf numFmtId="0" fontId="7" fillId="2" borderId="8" xfId="0" applyNumberFormat="1" applyFont="1" applyFill="1" applyBorder="1" applyAlignment="1" applyProtection="1">
      <alignment horizontal="center"/>
    </xf>
    <xf numFmtId="0" fontId="7" fillId="2" borderId="9" xfId="0" applyNumberFormat="1" applyFont="1" applyFill="1" applyBorder="1" applyAlignment="1" applyProtection="1">
      <alignment horizontal="center"/>
    </xf>
    <xf numFmtId="0" fontId="7" fillId="2" borderId="10" xfId="0" applyNumberFormat="1" applyFont="1" applyFill="1" applyBorder="1" applyAlignment="1" applyProtection="1">
      <alignment horizontal="center"/>
    </xf>
    <xf numFmtId="0" fontId="7" fillId="2" borderId="13" xfId="0" applyNumberFormat="1" applyFont="1" applyFill="1" applyBorder="1" applyAlignment="1" applyProtection="1">
      <alignment horizontal="left" vertical="top" wrapText="1"/>
    </xf>
    <xf numFmtId="0" fontId="7" fillId="2" borderId="13" xfId="0" applyNumberFormat="1" applyFont="1" applyFill="1" applyBorder="1" applyAlignment="1" applyProtection="1">
      <alignment horizontal="center"/>
    </xf>
    <xf numFmtId="0" fontId="7" fillId="2" borderId="12" xfId="0" applyNumberFormat="1" applyFont="1" applyFill="1" applyBorder="1" applyAlignment="1" applyProtection="1">
      <alignment horizontal="center"/>
    </xf>
    <xf numFmtId="0" fontId="15" fillId="2" borderId="1" xfId="0" applyNumberFormat="1" applyFont="1" applyFill="1" applyBorder="1" applyAlignment="1" applyProtection="1">
      <alignment horizontal="center" vertical="center"/>
    </xf>
    <xf numFmtId="0" fontId="15" fillId="2" borderId="13" xfId="0" applyNumberFormat="1" applyFont="1" applyFill="1" applyBorder="1" applyAlignment="1" applyProtection="1">
      <alignment horizontal="center" vertical="center"/>
    </xf>
    <xf numFmtId="0" fontId="15" fillId="2" borderId="12" xfId="0" applyNumberFormat="1" applyFont="1" applyFill="1" applyBorder="1" applyAlignment="1" applyProtection="1">
      <alignment horizontal="center" vertical="center"/>
    </xf>
    <xf numFmtId="0" fontId="15" fillId="2" borderId="1" xfId="0" applyNumberFormat="1" applyFont="1" applyFill="1" applyBorder="1" applyAlignment="1" applyProtection="1">
      <alignment horizontal="center" vertical="center" wrapText="1"/>
    </xf>
    <xf numFmtId="0" fontId="15" fillId="2" borderId="13" xfId="0" applyNumberFormat="1" applyFont="1" applyFill="1" applyBorder="1" applyAlignment="1" applyProtection="1">
      <alignment horizontal="center" vertical="center" wrapText="1"/>
    </xf>
    <xf numFmtId="0" fontId="15" fillId="2" borderId="12" xfId="0" applyNumberFormat="1" applyFont="1" applyFill="1" applyBorder="1" applyAlignment="1" applyProtection="1">
      <alignment horizontal="center" vertical="center" wrapText="1"/>
    </xf>
    <xf numFmtId="0" fontId="15" fillId="2" borderId="16" xfId="0" applyNumberFormat="1" applyFont="1" applyFill="1" applyBorder="1" applyAlignment="1" applyProtection="1">
      <alignment horizontal="center" vertical="center"/>
    </xf>
    <xf numFmtId="0" fontId="15" fillId="2" borderId="3" xfId="0" applyNumberFormat="1" applyFont="1" applyFill="1" applyBorder="1" applyAlignment="1" applyProtection="1">
      <alignment horizontal="center" vertical="center"/>
    </xf>
    <xf numFmtId="0" fontId="15" fillId="2" borderId="11" xfId="0" applyNumberFormat="1" applyFont="1" applyFill="1" applyBorder="1" applyAlignment="1" applyProtection="1">
      <alignment horizontal="center" vertical="center"/>
    </xf>
    <xf numFmtId="0" fontId="15" fillId="2" borderId="16" xfId="0" applyNumberFormat="1" applyFont="1" applyFill="1" applyBorder="1" applyAlignment="1" applyProtection="1">
      <alignment horizontal="center" vertical="center" wrapText="1"/>
    </xf>
    <xf numFmtId="0" fontId="15" fillId="2" borderId="3" xfId="0" applyNumberFormat="1" applyFont="1" applyFill="1" applyBorder="1" applyAlignment="1" applyProtection="1">
      <alignment horizontal="center" vertical="center" wrapText="1"/>
    </xf>
    <xf numFmtId="0" fontId="15" fillId="2" borderId="11" xfId="0" applyNumberFormat="1" applyFont="1" applyFill="1" applyBorder="1" applyAlignment="1" applyProtection="1">
      <alignment horizontal="center" vertical="center" wrapText="1"/>
    </xf>
    <xf numFmtId="0" fontId="2" fillId="3" borderId="8" xfId="0" applyNumberFormat="1" applyFont="1" applyFill="1" applyBorder="1" applyAlignment="1" applyProtection="1">
      <alignment horizontal="left"/>
    </xf>
    <xf numFmtId="0" fontId="2" fillId="3" borderId="9" xfId="0" applyNumberFormat="1" applyFont="1" applyFill="1" applyBorder="1" applyAlignment="1" applyProtection="1">
      <alignment horizontal="left"/>
    </xf>
    <xf numFmtId="0" fontId="10" fillId="2" borderId="8" xfId="0" applyNumberFormat="1" applyFont="1" applyFill="1" applyBorder="1" applyAlignment="1" applyProtection="1">
      <alignment horizontal="center"/>
    </xf>
    <xf numFmtId="0" fontId="10" fillId="2" borderId="9" xfId="0" applyNumberFormat="1" applyFont="1" applyFill="1" applyBorder="1" applyAlignment="1" applyProtection="1">
      <alignment horizontal="center"/>
    </xf>
    <xf numFmtId="0" fontId="10" fillId="2" borderId="10" xfId="0" applyNumberFormat="1" applyFont="1" applyFill="1" applyBorder="1" applyAlignment="1" applyProtection="1">
      <alignment horizontal="center"/>
    </xf>
    <xf numFmtId="0" fontId="27" fillId="0" borderId="0" xfId="0" applyFont="1" applyAlignment="1">
      <alignment horizontal="center"/>
    </xf>
    <xf numFmtId="0" fontId="2" fillId="5" borderId="8" xfId="0" applyNumberFormat="1" applyFont="1" applyFill="1" applyBorder="1" applyAlignment="1" applyProtection="1">
      <alignment horizontal="left" wrapText="1"/>
    </xf>
    <xf numFmtId="0" fontId="2" fillId="5" borderId="9" xfId="0" applyNumberFormat="1" applyFont="1" applyFill="1" applyBorder="1" applyAlignment="1" applyProtection="1">
      <alignment horizontal="left" wrapText="1"/>
    </xf>
    <xf numFmtId="0" fontId="2" fillId="5" borderId="10" xfId="0" applyNumberFormat="1" applyFont="1" applyFill="1" applyBorder="1" applyAlignment="1" applyProtection="1">
      <alignment horizontal="left" wrapText="1"/>
    </xf>
    <xf numFmtId="0" fontId="12" fillId="0" borderId="0" xfId="0" quotePrefix="1" applyFont="1" applyAlignment="1">
      <alignment horizontal="center" wrapText="1"/>
    </xf>
    <xf numFmtId="0" fontId="12" fillId="3" borderId="8" xfId="0" applyNumberFormat="1" applyFont="1" applyFill="1" applyBorder="1" applyAlignment="1" applyProtection="1">
      <alignment horizontal="left" vertical="center"/>
    </xf>
    <xf numFmtId="0" fontId="12" fillId="3" borderId="9" xfId="0" applyNumberFormat="1" applyFont="1" applyFill="1" applyBorder="1" applyAlignment="1" applyProtection="1">
      <alignment horizontal="left" vertical="center"/>
    </xf>
    <xf numFmtId="0" fontId="0" fillId="0" borderId="9" xfId="0" applyBorder="1"/>
    <xf numFmtId="0" fontId="0" fillId="0" borderId="10" xfId="0" applyBorder="1" applyAlignment="1" applyProtection="1"/>
    <xf numFmtId="37" fontId="1" fillId="5" borderId="8" xfId="0" applyNumberFormat="1" applyFont="1" applyFill="1" applyBorder="1" applyAlignment="1" applyProtection="1">
      <alignment horizontal="center"/>
    </xf>
    <xf numFmtId="37" fontId="1" fillId="5" borderId="10" xfId="0" applyNumberFormat="1" applyFont="1" applyFill="1" applyBorder="1" applyAlignment="1" applyProtection="1">
      <alignment horizontal="center"/>
    </xf>
    <xf numFmtId="0" fontId="1" fillId="4" borderId="8" xfId="0" applyNumberFormat="1" applyFont="1" applyFill="1" applyBorder="1" applyAlignment="1" applyProtection="1">
      <alignment horizontal="left" vertical="top" wrapText="1"/>
    </xf>
    <xf numFmtId="0" fontId="1" fillId="4" borderId="9" xfId="0" applyNumberFormat="1" applyFont="1" applyFill="1" applyBorder="1" applyAlignment="1" applyProtection="1">
      <alignment horizontal="left" vertical="top" wrapText="1"/>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168" fontId="9" fillId="7" borderId="8" xfId="0" applyNumberFormat="1" applyFont="1" applyFill="1" applyBorder="1" applyAlignment="1" applyProtection="1">
      <alignment horizontal="center"/>
      <protection locked="0"/>
    </xf>
    <xf numFmtId="168" fontId="9" fillId="7" borderId="10" xfId="0" applyNumberFormat="1" applyFont="1" applyFill="1" applyBorder="1" applyAlignment="1" applyProtection="1">
      <alignment horizontal="center"/>
      <protection locked="0"/>
    </xf>
    <xf numFmtId="0" fontId="10" fillId="2" borderId="8" xfId="0" applyNumberFormat="1" applyFont="1" applyFill="1" applyBorder="1" applyAlignment="1" applyProtection="1">
      <alignment horizontal="center" vertical="center" wrapText="1"/>
    </xf>
    <xf numFmtId="0" fontId="10" fillId="2" borderId="10" xfId="0" applyNumberFormat="1" applyFont="1" applyFill="1" applyBorder="1" applyAlignment="1" applyProtection="1">
      <alignment horizontal="center" vertical="center" wrapText="1"/>
    </xf>
    <xf numFmtId="0" fontId="26" fillId="2" borderId="0" xfId="0" applyNumberFormat="1" applyFont="1" applyFill="1" applyAlignment="1" applyProtection="1">
      <alignment horizontal="left" vertical="center" wrapText="1"/>
    </xf>
    <xf numFmtId="37" fontId="9" fillId="7" borderId="8" xfId="0" applyNumberFormat="1" applyFont="1" applyFill="1" applyBorder="1" applyAlignment="1" applyProtection="1">
      <alignment horizontal="center"/>
      <protection locked="0"/>
    </xf>
    <xf numFmtId="37" fontId="9" fillId="7" borderId="10" xfId="0" applyNumberFormat="1" applyFont="1" applyFill="1" applyBorder="1" applyAlignment="1" applyProtection="1">
      <alignment horizontal="center"/>
      <protection locked="0"/>
    </xf>
    <xf numFmtId="0" fontId="10" fillId="2" borderId="13" xfId="0" applyNumberFormat="1" applyFont="1" applyFill="1" applyBorder="1" applyAlignment="1" applyProtection="1">
      <alignment vertical="center" wrapText="1"/>
    </xf>
    <xf numFmtId="0" fontId="10" fillId="2" borderId="3" xfId="0" applyNumberFormat="1" applyFont="1" applyFill="1" applyBorder="1" applyAlignment="1" applyProtection="1">
      <alignment vertical="center" wrapText="1"/>
    </xf>
    <xf numFmtId="0" fontId="10" fillId="2" borderId="14" xfId="0" applyNumberFormat="1" applyFont="1" applyFill="1" applyBorder="1" applyAlignment="1" applyProtection="1">
      <alignment wrapText="1"/>
    </xf>
    <xf numFmtId="0" fontId="10" fillId="2" borderId="0" xfId="0" applyNumberFormat="1" applyFont="1" applyFill="1" applyAlignment="1" applyProtection="1">
      <alignment wrapText="1"/>
    </xf>
    <xf numFmtId="0" fontId="2" fillId="3" borderId="8" xfId="0" applyNumberFormat="1" applyFont="1" applyFill="1" applyBorder="1" applyAlignment="1" applyProtection="1">
      <alignment horizontal="left" wrapText="1"/>
    </xf>
    <xf numFmtId="0" fontId="2" fillId="3" borderId="9" xfId="0" applyNumberFormat="1" applyFont="1" applyFill="1" applyBorder="1" applyAlignment="1" applyProtection="1">
      <alignment horizontal="left" wrapText="1"/>
    </xf>
    <xf numFmtId="0" fontId="12" fillId="7" borderId="9" xfId="0" applyNumberFormat="1" applyFont="1" applyFill="1" applyBorder="1" applyAlignment="1" applyProtection="1">
      <alignment horizontal="left"/>
    </xf>
    <xf numFmtId="0" fontId="12" fillId="7" borderId="10" xfId="0" applyNumberFormat="1" applyFont="1" applyFill="1" applyBorder="1" applyAlignment="1" applyProtection="1">
      <alignment horizontal="left"/>
    </xf>
    <xf numFmtId="0" fontId="1" fillId="4" borderId="8" xfId="0" applyNumberFormat="1" applyFont="1" applyFill="1" applyBorder="1" applyAlignment="1" applyProtection="1">
      <alignment horizontal="left"/>
    </xf>
    <xf numFmtId="0" fontId="0" fillId="0" borderId="9" xfId="0" applyBorder="1" applyAlignment="1">
      <alignment horizontal="left"/>
    </xf>
    <xf numFmtId="0" fontId="0" fillId="0" borderId="10" xfId="0" applyBorder="1" applyAlignment="1">
      <alignment horizontal="left"/>
    </xf>
    <xf numFmtId="37" fontId="9" fillId="7" borderId="8" xfId="0" applyNumberFormat="1" applyFont="1" applyFill="1" applyBorder="1" applyAlignment="1" applyProtection="1">
      <alignment horizontal="center" wrapText="1"/>
      <protection locked="0"/>
    </xf>
    <xf numFmtId="0" fontId="12" fillId="0" borderId="9" xfId="0" applyFont="1" applyBorder="1"/>
    <xf numFmtId="0" fontId="11" fillId="3" borderId="8" xfId="0" applyNumberFormat="1" applyFont="1" applyFill="1" applyBorder="1" applyAlignment="1" applyProtection="1"/>
    <xf numFmtId="0" fontId="11" fillId="3" borderId="9" xfId="0" applyNumberFormat="1" applyFont="1" applyFill="1" applyBorder="1" applyAlignment="1" applyProtection="1"/>
    <xf numFmtId="0" fontId="11" fillId="3" borderId="10" xfId="0" applyNumberFormat="1" applyFont="1" applyFill="1" applyBorder="1" applyAlignment="1" applyProtection="1"/>
    <xf numFmtId="0" fontId="30" fillId="0" borderId="8" xfId="0" applyFont="1" applyBorder="1" applyAlignment="1">
      <alignment vertical="top" wrapText="1"/>
    </xf>
    <xf numFmtId="0" fontId="30" fillId="0" borderId="10" xfId="0" applyFont="1" applyBorder="1" applyAlignment="1">
      <alignment vertical="top" wrapText="1"/>
    </xf>
    <xf numFmtId="0" fontId="30" fillId="0" borderId="8" xfId="0" applyFont="1" applyFill="1" applyBorder="1"/>
    <xf numFmtId="0" fontId="30" fillId="0" borderId="10" xfId="0" applyFont="1" applyBorder="1"/>
    <xf numFmtId="0" fontId="2" fillId="0" borderId="2" xfId="0" applyNumberFormat="1" applyFont="1" applyFill="1" applyBorder="1" applyAlignment="1" applyProtection="1">
      <alignment vertical="center"/>
    </xf>
    <xf numFmtId="0" fontId="2" fillId="0" borderId="6" xfId="0" applyNumberFormat="1" applyFont="1" applyFill="1" applyBorder="1" applyAlignment="1" applyProtection="1">
      <alignment vertical="center"/>
    </xf>
    <xf numFmtId="0" fontId="30" fillId="0" borderId="8" xfId="0" applyFont="1" applyBorder="1" applyAlignment="1">
      <alignment wrapText="1"/>
    </xf>
    <xf numFmtId="0" fontId="30" fillId="0" borderId="10" xfId="0" applyFont="1" applyBorder="1" applyAlignment="1">
      <alignment wrapText="1"/>
    </xf>
    <xf numFmtId="0" fontId="30" fillId="0" borderId="9" xfId="0" applyFont="1" applyBorder="1"/>
  </cellXfs>
  <cellStyles count="12">
    <cellStyle name="Comma 2" xfId="11"/>
    <cellStyle name="Heading 1" xfId="2" builtinId="16"/>
    <cellStyle name="Normal" xfId="0" builtinId="0"/>
    <cellStyle name="Normal 2" xfId="1"/>
    <cellStyle name="Normal 2 2" xfId="4"/>
    <cellStyle name="Normal 3" xfId="3"/>
    <cellStyle name="Normal 4" xfId="5"/>
    <cellStyle name="Normal 5" xfId="6"/>
    <cellStyle name="Percent" xfId="10" builtinId="5"/>
    <cellStyle name="Percent 2" xfId="7"/>
    <cellStyle name="Percent 3" xfId="8"/>
    <cellStyle name="Percent 4" xfId="9"/>
  </cellStyles>
  <dxfs count="11">
    <dxf>
      <fill>
        <patternFill patternType="solid">
          <fgColor auto="1"/>
          <bgColor rgb="FFFF8585"/>
        </patternFill>
      </fill>
    </dxf>
    <dxf>
      <fill>
        <patternFill patternType="solid">
          <fgColor auto="1"/>
          <bgColor rgb="FFFFFF66"/>
        </patternFill>
      </fill>
    </dxf>
    <dxf>
      <fill>
        <patternFill patternType="solid">
          <fgColor auto="1"/>
          <bgColor rgb="FFFF8585"/>
        </patternFill>
      </fill>
    </dxf>
    <dxf>
      <fill>
        <patternFill patternType="solid">
          <fgColor auto="1"/>
          <bgColor rgb="FFFF8585"/>
        </patternFill>
      </fill>
    </dxf>
    <dxf>
      <fill>
        <patternFill patternType="solid">
          <fgColor auto="1"/>
          <bgColor rgb="FFFFFF66"/>
        </patternFill>
      </fill>
    </dxf>
    <dxf>
      <fill>
        <patternFill patternType="solid">
          <fgColor auto="1"/>
          <bgColor rgb="FFFFFF66"/>
        </patternFill>
      </fill>
    </dxf>
    <dxf>
      <fill>
        <patternFill patternType="solid">
          <fgColor auto="1"/>
          <bgColor rgb="FFFF8585"/>
        </patternFill>
      </fill>
    </dxf>
    <dxf>
      <fill>
        <patternFill patternType="solid">
          <fgColor auto="1"/>
          <bgColor rgb="FFFF8585"/>
        </patternFill>
      </fill>
    </dxf>
    <dxf>
      <fill>
        <patternFill patternType="solid">
          <fgColor auto="1"/>
          <bgColor rgb="FFFFFF66"/>
        </patternFill>
      </fill>
    </dxf>
    <dxf>
      <font>
        <color indexed="47"/>
      </font>
    </dxf>
    <dxf>
      <font>
        <color rgb="FFFF0000"/>
      </font>
    </dxf>
  </dxfs>
  <tableStyles count="0" defaultTableStyle="TableStyleMedium2" defaultPivotStyle="PivotStyleLight16"/>
  <colors>
    <mruColors>
      <color rgb="FFFFFF66"/>
      <color rgb="FF0000FF"/>
      <color rgb="FFBF8F00"/>
      <color rgb="FFFFCC00"/>
      <color rgb="FFDDE1EB"/>
      <color rgb="FF647B96"/>
      <color rgb="FFAFC0EF"/>
      <color rgb="FFFF8585"/>
      <color rgb="FFFF8F8F"/>
      <color rgb="FFFF8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hesa.ac.uk/collection/c19031" TargetMode="External"/><Relationship Id="rId1" Type="http://schemas.openxmlformats.org/officeDocument/2006/relationships/hyperlink" Target="mailto:liaison@hesa.ac.uk"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16"/>
  <sheetViews>
    <sheetView workbookViewId="0">
      <selection activeCell="I12" sqref="I12"/>
    </sheetView>
  </sheetViews>
  <sheetFormatPr defaultRowHeight="15" x14ac:dyDescent="0.25"/>
  <cols>
    <col min="1" max="1" width="35.5703125" bestFit="1" customWidth="1"/>
    <col min="2" max="4" width="9.140625" customWidth="1"/>
    <col min="5" max="5" width="13.85546875" bestFit="1" customWidth="1"/>
    <col min="6" max="8" width="9.140625" customWidth="1"/>
    <col min="9" max="9" width="35.42578125" bestFit="1" customWidth="1"/>
    <col min="10" max="10" width="29.28515625" customWidth="1"/>
  </cols>
  <sheetData>
    <row r="1" spans="1:10" ht="15.4" customHeight="1" x14ac:dyDescent="0.25">
      <c r="A1" s="107" t="s">
        <v>0</v>
      </c>
      <c r="E1" s="107" t="s">
        <v>1</v>
      </c>
      <c r="I1" s="191" t="s">
        <v>2</v>
      </c>
      <c r="J1" s="192" t="s">
        <v>3</v>
      </c>
    </row>
    <row r="2" spans="1:10" x14ac:dyDescent="0.25">
      <c r="A2" s="108" t="s">
        <v>4</v>
      </c>
      <c r="E2" s="108"/>
      <c r="I2" s="104"/>
      <c r="J2" s="105"/>
    </row>
    <row r="3" spans="1:10" ht="15.6" customHeight="1" thickBot="1" x14ac:dyDescent="0.3">
      <c r="A3" s="109" t="s">
        <v>5</v>
      </c>
      <c r="E3" s="108" t="s">
        <v>5</v>
      </c>
      <c r="I3" s="193" t="s">
        <v>6</v>
      </c>
      <c r="J3" s="105"/>
    </row>
    <row r="4" spans="1:10" ht="14.65" customHeight="1" thickBot="1" x14ac:dyDescent="0.3">
      <c r="E4" s="109" t="s">
        <v>4</v>
      </c>
      <c r="I4" s="104"/>
      <c r="J4" s="105"/>
    </row>
    <row r="5" spans="1:10" ht="14.65" customHeight="1" thickBot="1" x14ac:dyDescent="0.3">
      <c r="A5" s="107" t="s">
        <v>7</v>
      </c>
      <c r="I5" s="110" t="s">
        <v>8</v>
      </c>
      <c r="J5" s="106"/>
    </row>
    <row r="6" spans="1:10" x14ac:dyDescent="0.25">
      <c r="A6" s="108" t="s">
        <v>9</v>
      </c>
    </row>
    <row r="7" spans="1:10" x14ac:dyDescent="0.25">
      <c r="A7" s="108" t="s">
        <v>10</v>
      </c>
    </row>
    <row r="8" spans="1:10" x14ac:dyDescent="0.25">
      <c r="A8" s="108" t="s">
        <v>11</v>
      </c>
    </row>
    <row r="9" spans="1:10" x14ac:dyDescent="0.25">
      <c r="A9" s="108" t="s">
        <v>12</v>
      </c>
    </row>
    <row r="10" spans="1:10" ht="14.65" customHeight="1" thickBot="1" x14ac:dyDescent="0.3">
      <c r="A10" s="109" t="s">
        <v>13</v>
      </c>
    </row>
    <row r="11" spans="1:10" ht="14.65" customHeight="1" thickBot="1" x14ac:dyDescent="0.3">
      <c r="A11" t="s">
        <v>14</v>
      </c>
    </row>
    <row r="12" spans="1:10" x14ac:dyDescent="0.25">
      <c r="A12" s="107" t="s">
        <v>15</v>
      </c>
    </row>
    <row r="13" spans="1:10" x14ac:dyDescent="0.25">
      <c r="A13" s="108" t="s">
        <v>16</v>
      </c>
    </row>
    <row r="14" spans="1:10" x14ac:dyDescent="0.25">
      <c r="A14" s="108" t="s">
        <v>17</v>
      </c>
    </row>
    <row r="15" spans="1:10" x14ac:dyDescent="0.25">
      <c r="A15" s="108" t="s">
        <v>18</v>
      </c>
    </row>
    <row r="16" spans="1:10" ht="14.65" customHeight="1" thickBot="1" x14ac:dyDescent="0.3">
      <c r="A16" s="109" t="s">
        <v>19</v>
      </c>
    </row>
  </sheetData>
  <sheetProtection algorithmName="SHA-512" hashValue="hJMWm1eJUcW/juIIsVO6zgWr8YWmQCwdrdnLLODcoM4ubpo57tsqfCLaSIIbCG3aDR1+Vwp6td737+iG/0srIQ==" saltValue="42a0LSl4qz8NljTnBlZUSg==" spinCount="100000" sheet="1" objects="1"/>
  <printOptions headings="1" gridLines="1"/>
  <pageMargins left="0.70866141732283472" right="0.70866141732283472" top="0.74803149606299213" bottom="0.74803149606299213" header="0.31496062992125984" footer="0.31496062992125984"/>
  <pageSetup paperSize="9" scale="6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74"/>
  <sheetViews>
    <sheetView zoomScale="80" zoomScaleNormal="80" workbookViewId="0">
      <pane xSplit="7" ySplit="6" topLeftCell="H55" activePane="bottomRight" state="frozenSplit"/>
      <selection activeCell="H1" sqref="H1"/>
      <selection pane="topRight"/>
      <selection pane="bottomLeft"/>
      <selection pane="bottomRight" activeCell="J73" sqref="J73"/>
    </sheetView>
  </sheetViews>
  <sheetFormatPr defaultColWidth="9.85546875" defaultRowHeight="12.75" x14ac:dyDescent="0.2"/>
  <cols>
    <col min="1" max="1" width="10" style="10" bestFit="1" customWidth="1"/>
    <col min="2" max="2" width="2.85546875" style="4" customWidth="1"/>
    <col min="3" max="3" width="5.28515625" style="4" customWidth="1"/>
    <col min="4" max="4" width="68.7109375" style="4" customWidth="1"/>
    <col min="5" max="5" width="2.85546875" style="4" hidden="1" customWidth="1"/>
    <col min="6" max="7" width="4.140625" style="4" hidden="1" customWidth="1"/>
    <col min="8" max="8" width="24.7109375" style="4" customWidth="1"/>
    <col min="9" max="9" width="24.85546875" style="4" customWidth="1"/>
    <col min="10" max="10" width="12" style="4" customWidth="1"/>
    <col min="11" max="11" width="12.5703125" style="4" customWidth="1"/>
    <col min="12" max="12" width="24.85546875" style="4" customWidth="1"/>
    <col min="13" max="13" width="24.5703125" style="4" customWidth="1"/>
    <col min="14" max="14" width="11.85546875" style="4" customWidth="1"/>
    <col min="15" max="15" width="12.140625" style="4" customWidth="1"/>
    <col min="16" max="16" width="15.85546875" style="4" hidden="1" customWidth="1"/>
    <col min="17" max="17" width="21.85546875" style="4" hidden="1" customWidth="1"/>
    <col min="18" max="19" width="7.7109375" style="4" hidden="1" customWidth="1"/>
    <col min="20" max="20" width="9" style="5" hidden="1" customWidth="1"/>
    <col min="21" max="21" width="16.42578125" style="5" hidden="1" customWidth="1"/>
    <col min="22" max="22" width="23.42578125" style="4" hidden="1" customWidth="1"/>
    <col min="23" max="23" width="6.85546875" style="4" hidden="1" customWidth="1"/>
    <col min="24" max="24" width="84.7109375" style="4" customWidth="1"/>
    <col min="25" max="25" width="5.28515625" style="4" hidden="1" customWidth="1"/>
    <col min="26" max="26" width="8" style="4" hidden="1" customWidth="1"/>
    <col min="27" max="28" width="9.85546875" style="4" hidden="1" customWidth="1"/>
    <col min="29" max="29" width="14.28515625" style="4" hidden="1" customWidth="1"/>
    <col min="30" max="31" width="9.85546875" style="4" hidden="1" customWidth="1"/>
    <col min="32" max="32" width="9.85546875" style="4" customWidth="1"/>
    <col min="33" max="16384" width="9.85546875" style="4"/>
  </cols>
  <sheetData>
    <row r="1" spans="1:31" customFormat="1" ht="39.950000000000003" customHeight="1" thickBot="1" x14ac:dyDescent="0.3">
      <c r="A1" s="483" t="s">
        <v>1073</v>
      </c>
      <c r="B1" s="715" t="s">
        <v>1074</v>
      </c>
      <c r="C1" s="715"/>
      <c r="D1" s="715"/>
      <c r="E1" s="715"/>
      <c r="F1" s="715"/>
      <c r="G1" s="484"/>
      <c r="H1" s="716"/>
      <c r="I1" s="716"/>
      <c r="J1" s="716"/>
      <c r="K1" s="717"/>
      <c r="L1" s="718" t="s">
        <v>709</v>
      </c>
      <c r="M1" s="719"/>
      <c r="N1" s="719"/>
      <c r="O1" s="720"/>
      <c r="P1" s="721" t="s">
        <v>1075</v>
      </c>
      <c r="Q1" s="722"/>
      <c r="R1" s="722"/>
      <c r="S1" s="723"/>
      <c r="T1" s="18"/>
      <c r="Z1" s="5"/>
      <c r="AA1" s="5"/>
      <c r="AB1" s="5"/>
      <c r="AC1" s="293" t="str">
        <f>Title_Page!H101</f>
        <v>PASS</v>
      </c>
      <c r="AD1" s="5"/>
      <c r="AE1" s="293"/>
    </row>
    <row r="2" spans="1:31" customFormat="1" ht="24.95" customHeight="1" x14ac:dyDescent="0.25">
      <c r="A2" s="485"/>
      <c r="B2" s="486"/>
      <c r="C2" s="486"/>
      <c r="D2" s="486"/>
      <c r="E2" s="486"/>
      <c r="F2" s="486"/>
      <c r="G2" s="486"/>
      <c r="H2" s="487"/>
      <c r="I2" s="487"/>
      <c r="J2" s="487"/>
      <c r="K2" s="488"/>
      <c r="L2" s="724" t="s">
        <v>710</v>
      </c>
      <c r="M2" s="725"/>
      <c r="N2" s="725"/>
      <c r="O2" s="726"/>
      <c r="P2" s="727" t="s">
        <v>711</v>
      </c>
      <c r="Q2" s="728"/>
      <c r="R2" s="728"/>
      <c r="S2" s="729"/>
      <c r="T2" s="18"/>
      <c r="Z2" s="130" t="s">
        <v>712</v>
      </c>
      <c r="AA2" s="70"/>
      <c r="AB2" s="70"/>
      <c r="AC2" s="132"/>
      <c r="AD2" s="5"/>
      <c r="AE2" s="5" t="s">
        <v>713</v>
      </c>
    </row>
    <row r="3" spans="1:31" customFormat="1" ht="28.35" customHeight="1" x14ac:dyDescent="0.25">
      <c r="A3" s="485"/>
      <c r="B3" s="486"/>
      <c r="C3" s="486"/>
      <c r="D3" s="486"/>
      <c r="E3" s="486"/>
      <c r="F3" s="486"/>
      <c r="G3" s="486"/>
      <c r="H3" s="709" t="str">
        <f>'Hide_me(drop_downs)'!I1</f>
        <v>Year ended 31 July 2020</v>
      </c>
      <c r="I3" s="710"/>
      <c r="J3" s="710"/>
      <c r="K3" s="711"/>
      <c r="L3" s="709" t="str">
        <f>'Hide_me(drop_downs)'!J1</f>
        <v>Year ended 31 July 2019</v>
      </c>
      <c r="M3" s="710"/>
      <c r="N3" s="710"/>
      <c r="O3" s="711"/>
      <c r="P3" s="709" t="str">
        <f>'Hide_me(drop_downs)'!J1</f>
        <v>Year ended 31 July 2019</v>
      </c>
      <c r="Q3" s="710"/>
      <c r="R3" s="710"/>
      <c r="S3" s="711"/>
      <c r="T3" s="18"/>
      <c r="Z3" s="131"/>
      <c r="AA3" s="5"/>
      <c r="AB3" s="5"/>
      <c r="AC3" s="132"/>
      <c r="AD3" s="5"/>
      <c r="AE3" s="5" t="s">
        <v>715</v>
      </c>
    </row>
    <row r="4" spans="1:31" customFormat="1" ht="22.35" customHeight="1" thickBot="1" x14ac:dyDescent="0.3">
      <c r="A4" s="485"/>
      <c r="B4" s="486"/>
      <c r="C4" s="486"/>
      <c r="D4" s="486"/>
      <c r="E4" s="486"/>
      <c r="F4" s="486"/>
      <c r="G4" s="486"/>
      <c r="H4" s="712" t="s">
        <v>1076</v>
      </c>
      <c r="I4" s="713"/>
      <c r="J4" s="713"/>
      <c r="K4" s="714"/>
      <c r="L4" s="712" t="s">
        <v>1076</v>
      </c>
      <c r="M4" s="713"/>
      <c r="N4" s="713"/>
      <c r="O4" s="714"/>
      <c r="P4" s="712" t="s">
        <v>1076</v>
      </c>
      <c r="Q4" s="713"/>
      <c r="R4" s="713"/>
      <c r="S4" s="714"/>
      <c r="T4" s="18"/>
      <c r="V4" s="20"/>
      <c r="W4" s="20"/>
      <c r="Z4" s="133" t="s">
        <v>720</v>
      </c>
      <c r="AA4" s="5"/>
      <c r="AB4" s="5"/>
      <c r="AC4" s="132"/>
      <c r="AD4" s="5"/>
      <c r="AE4" s="133" t="s">
        <v>358</v>
      </c>
    </row>
    <row r="5" spans="1:31" customFormat="1" ht="126" customHeight="1" thickBot="1" x14ac:dyDescent="0.3">
      <c r="A5" s="485"/>
      <c r="B5" s="486"/>
      <c r="C5" s="486"/>
      <c r="D5" s="486"/>
      <c r="E5" s="486"/>
      <c r="F5" s="486"/>
      <c r="G5" s="486"/>
      <c r="H5" s="460" t="s">
        <v>1077</v>
      </c>
      <c r="I5" s="460" t="s">
        <v>1078</v>
      </c>
      <c r="J5" s="460" t="s">
        <v>13</v>
      </c>
      <c r="K5" s="460" t="s">
        <v>779</v>
      </c>
      <c r="L5" s="460" t="s">
        <v>1077</v>
      </c>
      <c r="M5" s="460" t="s">
        <v>1078</v>
      </c>
      <c r="N5" s="460" t="s">
        <v>13</v>
      </c>
      <c r="O5" s="460" t="s">
        <v>779</v>
      </c>
      <c r="P5" s="460" t="s">
        <v>1079</v>
      </c>
      <c r="Q5" s="460" t="s">
        <v>1080</v>
      </c>
      <c r="R5" s="460" t="s">
        <v>13</v>
      </c>
      <c r="S5" s="460" t="s">
        <v>779</v>
      </c>
      <c r="T5" s="18"/>
      <c r="V5" s="20"/>
      <c r="W5" s="20"/>
      <c r="X5" s="27" t="str">
        <f>'Hide_me(drop_downs)'!I5</f>
        <v>Variance (2019/20 v. 2018/19 restated)</v>
      </c>
      <c r="Y5" s="18"/>
      <c r="Z5" s="18"/>
      <c r="AA5" s="18"/>
      <c r="AB5" s="18"/>
      <c r="AC5" s="293" t="str">
        <f>IF(AC1="FAIL","Head","")</f>
        <v/>
      </c>
      <c r="AD5" s="18"/>
      <c r="AE5" s="293" t="str">
        <f>IF(AE1="FAIL","Head","")</f>
        <v/>
      </c>
    </row>
    <row r="6" spans="1:31" customFormat="1" ht="15" customHeight="1" x14ac:dyDescent="0.25">
      <c r="A6" s="489"/>
      <c r="B6" s="490"/>
      <c r="C6" s="490"/>
      <c r="D6" s="490"/>
      <c r="E6" s="490"/>
      <c r="F6" s="490"/>
      <c r="G6" s="490"/>
      <c r="H6" s="491" t="s">
        <v>717</v>
      </c>
      <c r="I6" s="491" t="s">
        <v>717</v>
      </c>
      <c r="J6" s="491" t="s">
        <v>717</v>
      </c>
      <c r="K6" s="491" t="s">
        <v>717</v>
      </c>
      <c r="L6" s="491" t="s">
        <v>717</v>
      </c>
      <c r="M6" s="491" t="s">
        <v>717</v>
      </c>
      <c r="N6" s="491" t="s">
        <v>717</v>
      </c>
      <c r="O6" s="491" t="s">
        <v>717</v>
      </c>
      <c r="P6" s="491" t="s">
        <v>717</v>
      </c>
      <c r="Q6" s="491" t="s">
        <v>717</v>
      </c>
      <c r="R6" s="491" t="s">
        <v>717</v>
      </c>
      <c r="S6" s="491" t="s">
        <v>717</v>
      </c>
      <c r="T6" s="77" t="s">
        <v>358</v>
      </c>
      <c r="U6" s="20"/>
      <c r="V6" s="20"/>
      <c r="W6" s="20"/>
      <c r="X6" s="28" t="s">
        <v>1081</v>
      </c>
      <c r="Y6" s="28"/>
    </row>
    <row r="7" spans="1:31" x14ac:dyDescent="0.2">
      <c r="A7" s="345">
        <v>1</v>
      </c>
      <c r="B7" s="465" t="s">
        <v>1082</v>
      </c>
      <c r="C7" s="466"/>
      <c r="D7" s="466"/>
      <c r="E7" s="466"/>
      <c r="F7" s="467"/>
      <c r="G7" s="467"/>
      <c r="H7" s="492"/>
      <c r="I7" s="492"/>
      <c r="J7" s="492"/>
      <c r="K7" s="492"/>
      <c r="L7" s="492"/>
      <c r="M7" s="492"/>
      <c r="N7" s="492"/>
      <c r="O7" s="492"/>
      <c r="P7" s="492"/>
      <c r="Q7" s="492"/>
      <c r="R7" s="492"/>
      <c r="S7" s="492"/>
      <c r="T7" s="7" t="s">
        <v>1083</v>
      </c>
      <c r="U7" s="18" t="s">
        <v>717</v>
      </c>
      <c r="V7" s="18" t="s">
        <v>718</v>
      </c>
      <c r="W7" s="18"/>
      <c r="X7" s="29" t="s">
        <v>719</v>
      </c>
      <c r="Y7" s="29"/>
    </row>
    <row r="8" spans="1:31" customFormat="1" ht="15.75" customHeight="1" thickBot="1" x14ac:dyDescent="0.3">
      <c r="A8" s="345" t="s">
        <v>723</v>
      </c>
      <c r="B8" s="493"/>
      <c r="C8" s="494" t="str">
        <f>IF(Title_Page!B4="W","Home domicile students (Wales)",IF(Title_Page!B4="S","Home domicile students (Scotland)",IF(Title_Page!B4="N","Home domicile students (Northern Ireland)","Home domicile students")))</f>
        <v>Home domicile students (Scotland)</v>
      </c>
      <c r="D8" s="495"/>
      <c r="E8" s="495"/>
      <c r="F8" s="496"/>
      <c r="G8" s="496"/>
      <c r="H8" s="497"/>
      <c r="I8" s="497"/>
      <c r="J8" s="497"/>
      <c r="K8" s="497"/>
      <c r="L8" s="497"/>
      <c r="M8" s="497"/>
      <c r="N8" s="497"/>
      <c r="O8" s="497"/>
      <c r="P8" s="497"/>
      <c r="Q8" s="497"/>
      <c r="R8" s="497"/>
      <c r="S8" s="497"/>
      <c r="T8" s="18">
        <f>COUNTIF(T9:T71,"=ZERO")</f>
        <v>5</v>
      </c>
      <c r="U8" s="30" t="s">
        <v>358</v>
      </c>
      <c r="V8" s="30" t="s">
        <v>358</v>
      </c>
      <c r="W8" s="30"/>
      <c r="X8" s="18" t="s">
        <v>722</v>
      </c>
      <c r="Y8" s="18"/>
    </row>
    <row r="9" spans="1:31" customFormat="1" ht="12.75" customHeight="1" thickBot="1" x14ac:dyDescent="0.3">
      <c r="A9" s="345" t="s">
        <v>1084</v>
      </c>
      <c r="B9" s="498"/>
      <c r="C9" s="499"/>
      <c r="D9" s="469" t="s">
        <v>1085</v>
      </c>
      <c r="E9" s="499"/>
      <c r="F9" s="500"/>
      <c r="G9" s="500"/>
      <c r="H9" s="501">
        <v>12726</v>
      </c>
      <c r="I9" s="501">
        <v>1</v>
      </c>
      <c r="J9" s="501">
        <v>931</v>
      </c>
      <c r="K9" s="349">
        <f t="shared" ref="K9:K15" si="0">SUM(H9:J9)</f>
        <v>13658</v>
      </c>
      <c r="L9" s="501">
        <v>13407</v>
      </c>
      <c r="M9" s="501">
        <v>3</v>
      </c>
      <c r="N9" s="501">
        <v>829</v>
      </c>
      <c r="O9" s="349">
        <f t="shared" ref="O9:O15" si="1">SUM(L9:N9)</f>
        <v>14239</v>
      </c>
      <c r="P9" s="502">
        <v>13407</v>
      </c>
      <c r="Q9" s="502">
        <v>3</v>
      </c>
      <c r="R9" s="502">
        <v>3538</v>
      </c>
      <c r="S9" s="349">
        <f t="shared" ref="S9:S15" si="2">SUM(P9:R9)</f>
        <v>16948</v>
      </c>
      <c r="T9" s="7"/>
      <c r="U9" s="169">
        <f t="shared" ref="U9:U16" si="3">K9-O9</f>
        <v>-581</v>
      </c>
      <c r="V9" s="164">
        <f t="shared" ref="V9:V16" si="4">IF(AND(OR(K9=0,O9&lt;&gt;0),OR(O9=0,K9&lt;&gt;0)),IF((K9+O9+U9&lt;&gt;0),IF(AND(OR(K9&gt;0,O9&lt;0),OR(O9&gt;0,K9&lt;0)),ABS(U9/MIN(ABS(O9),ABS(K9))),10),"-"),10)</f>
        <v>4.2539171181724997E-2</v>
      </c>
      <c r="W9" s="7"/>
      <c r="X9" s="61"/>
      <c r="Y9" s="388"/>
      <c r="Z9" s="5">
        <f t="shared" ref="Z9:Z15" si="5">IF(AND(U9&gt;750,V9&gt;2),1,0)</f>
        <v>0</v>
      </c>
      <c r="AA9" s="5">
        <f t="shared" ref="AA9:AA15" si="6">IF(AND(U9&lt;-750,V9&gt;2),1,0)</f>
        <v>0</v>
      </c>
      <c r="AB9" s="5">
        <f t="shared" ref="AB9:AB15" si="7">SUM(Z9:AA9)</f>
        <v>0</v>
      </c>
      <c r="AC9" s="156" t="str">
        <f t="shared" ref="AC9:AC15" si="8">IF(AB9&lt;&gt;0,$A$8&amp;A9&amp;" ("&amp;K9&amp;", "&amp;O9&amp;")"&amp;", ","")</f>
        <v/>
      </c>
    </row>
    <row r="10" spans="1:31" customFormat="1" ht="12.75" customHeight="1" thickBot="1" x14ac:dyDescent="0.3">
      <c r="A10" s="345" t="s">
        <v>1086</v>
      </c>
      <c r="B10" s="498"/>
      <c r="C10" s="499"/>
      <c r="D10" s="469" t="s">
        <v>1087</v>
      </c>
      <c r="E10" s="499"/>
      <c r="F10" s="500"/>
      <c r="G10" s="500"/>
      <c r="H10" s="501">
        <v>0</v>
      </c>
      <c r="I10" s="501">
        <v>0</v>
      </c>
      <c r="J10" s="501">
        <v>0</v>
      </c>
      <c r="K10" s="349">
        <f t="shared" si="0"/>
        <v>0</v>
      </c>
      <c r="L10" s="501">
        <v>0</v>
      </c>
      <c r="M10" s="501">
        <v>0</v>
      </c>
      <c r="N10" s="501">
        <v>0</v>
      </c>
      <c r="O10" s="349">
        <f t="shared" si="1"/>
        <v>0</v>
      </c>
      <c r="P10" s="502">
        <v>0</v>
      </c>
      <c r="Q10" s="502">
        <v>0</v>
      </c>
      <c r="R10" s="502">
        <v>0</v>
      </c>
      <c r="S10" s="349">
        <f t="shared" si="2"/>
        <v>0</v>
      </c>
      <c r="T10" s="7"/>
      <c r="U10" s="169">
        <f t="shared" si="3"/>
        <v>0</v>
      </c>
      <c r="V10" s="164" t="str">
        <f t="shared" si="4"/>
        <v>-</v>
      </c>
      <c r="W10" s="7"/>
      <c r="X10" s="61"/>
      <c r="Y10" s="388"/>
      <c r="Z10" s="5">
        <f t="shared" si="5"/>
        <v>0</v>
      </c>
      <c r="AA10" s="5">
        <f t="shared" si="6"/>
        <v>0</v>
      </c>
      <c r="AB10" s="5">
        <f t="shared" si="7"/>
        <v>0</v>
      </c>
      <c r="AC10" s="156" t="str">
        <f t="shared" si="8"/>
        <v/>
      </c>
    </row>
    <row r="11" spans="1:31" customFormat="1" ht="12.75" customHeight="1" thickBot="1" x14ac:dyDescent="0.3">
      <c r="A11" s="345" t="s">
        <v>1088</v>
      </c>
      <c r="B11" s="498"/>
      <c r="C11" s="499"/>
      <c r="D11" s="469" t="s">
        <v>1089</v>
      </c>
      <c r="E11" s="499"/>
      <c r="F11" s="500"/>
      <c r="G11" s="500"/>
      <c r="H11" s="501">
        <v>1980</v>
      </c>
      <c r="I11" s="501">
        <v>16</v>
      </c>
      <c r="J11" s="501">
        <v>6540</v>
      </c>
      <c r="K11" s="349">
        <f t="shared" si="0"/>
        <v>8536</v>
      </c>
      <c r="L11" s="501">
        <v>1779</v>
      </c>
      <c r="M11" s="501">
        <v>21</v>
      </c>
      <c r="N11" s="501">
        <v>6280</v>
      </c>
      <c r="O11" s="349">
        <f t="shared" si="1"/>
        <v>8080</v>
      </c>
      <c r="P11" s="502">
        <v>1779</v>
      </c>
      <c r="Q11" s="502">
        <v>21</v>
      </c>
      <c r="R11" s="502">
        <v>6280</v>
      </c>
      <c r="S11" s="349">
        <f t="shared" si="2"/>
        <v>8080</v>
      </c>
      <c r="T11" s="7"/>
      <c r="U11" s="169">
        <f t="shared" si="3"/>
        <v>456</v>
      </c>
      <c r="V11" s="164">
        <f t="shared" si="4"/>
        <v>5.6435643564356437E-2</v>
      </c>
      <c r="W11" s="7"/>
      <c r="X11" s="61"/>
      <c r="Y11" s="388"/>
      <c r="Z11" s="5">
        <f t="shared" si="5"/>
        <v>0</v>
      </c>
      <c r="AA11" s="5">
        <f t="shared" si="6"/>
        <v>0</v>
      </c>
      <c r="AB11" s="5">
        <f t="shared" si="7"/>
        <v>0</v>
      </c>
      <c r="AC11" s="156" t="str">
        <f t="shared" si="8"/>
        <v/>
      </c>
    </row>
    <row r="12" spans="1:31" customFormat="1" ht="12.75" customHeight="1" thickBot="1" x14ac:dyDescent="0.3">
      <c r="A12" s="345" t="s">
        <v>1090</v>
      </c>
      <c r="B12" s="498"/>
      <c r="C12" s="499"/>
      <c r="D12" s="469" t="s">
        <v>1091</v>
      </c>
      <c r="E12" s="499"/>
      <c r="F12" s="500"/>
      <c r="G12" s="500"/>
      <c r="H12" s="501">
        <v>50</v>
      </c>
      <c r="I12" s="501">
        <v>30</v>
      </c>
      <c r="J12" s="501">
        <v>3696</v>
      </c>
      <c r="K12" s="349">
        <f t="shared" si="0"/>
        <v>3776</v>
      </c>
      <c r="L12" s="501">
        <v>55</v>
      </c>
      <c r="M12" s="501">
        <v>81</v>
      </c>
      <c r="N12" s="501">
        <v>4673</v>
      </c>
      <c r="O12" s="349">
        <f t="shared" si="1"/>
        <v>4809</v>
      </c>
      <c r="P12" s="502">
        <v>55</v>
      </c>
      <c r="Q12" s="502">
        <v>81</v>
      </c>
      <c r="R12" s="502">
        <v>4673</v>
      </c>
      <c r="S12" s="349">
        <f t="shared" si="2"/>
        <v>4809</v>
      </c>
      <c r="T12" s="7"/>
      <c r="U12" s="169">
        <f t="shared" si="3"/>
        <v>-1033</v>
      </c>
      <c r="V12" s="164">
        <f t="shared" si="4"/>
        <v>0.27356991525423729</v>
      </c>
      <c r="W12" s="7"/>
      <c r="X12" s="61"/>
      <c r="Y12" s="388"/>
      <c r="Z12" s="5">
        <f t="shared" si="5"/>
        <v>0</v>
      </c>
      <c r="AA12" s="5">
        <f t="shared" si="6"/>
        <v>0</v>
      </c>
      <c r="AB12" s="5">
        <f t="shared" si="7"/>
        <v>0</v>
      </c>
      <c r="AC12" s="156" t="str">
        <f t="shared" si="8"/>
        <v/>
      </c>
    </row>
    <row r="13" spans="1:31" customFormat="1" ht="12.75" customHeight="1" thickBot="1" x14ac:dyDescent="0.3">
      <c r="A13" s="345" t="s">
        <v>1092</v>
      </c>
      <c r="B13" s="498"/>
      <c r="C13" s="499"/>
      <c r="D13" s="469" t="s">
        <v>1093</v>
      </c>
      <c r="E13" s="499"/>
      <c r="F13" s="500"/>
      <c r="G13" s="500"/>
      <c r="H13" s="501">
        <v>171</v>
      </c>
      <c r="I13" s="501">
        <v>4</v>
      </c>
      <c r="J13" s="501">
        <v>164</v>
      </c>
      <c r="K13" s="349">
        <f t="shared" si="0"/>
        <v>339</v>
      </c>
      <c r="L13" s="501">
        <v>309</v>
      </c>
      <c r="M13" s="501">
        <v>3</v>
      </c>
      <c r="N13" s="501">
        <v>24</v>
      </c>
      <c r="O13" s="349">
        <f t="shared" si="1"/>
        <v>336</v>
      </c>
      <c r="P13" s="502">
        <v>309</v>
      </c>
      <c r="Q13" s="502">
        <v>3</v>
      </c>
      <c r="R13" s="502">
        <v>24</v>
      </c>
      <c r="S13" s="349">
        <f t="shared" si="2"/>
        <v>336</v>
      </c>
      <c r="T13" s="7"/>
      <c r="U13" s="169">
        <f t="shared" si="3"/>
        <v>3</v>
      </c>
      <c r="V13" s="164">
        <f t="shared" si="4"/>
        <v>8.9285714285714281E-3</v>
      </c>
      <c r="W13" s="7"/>
      <c r="X13" s="61"/>
      <c r="Y13" s="388"/>
      <c r="Z13" s="5">
        <f t="shared" si="5"/>
        <v>0</v>
      </c>
      <c r="AA13" s="5">
        <f t="shared" si="6"/>
        <v>0</v>
      </c>
      <c r="AB13" s="5">
        <f t="shared" si="7"/>
        <v>0</v>
      </c>
      <c r="AC13" s="156" t="str">
        <f t="shared" si="8"/>
        <v/>
      </c>
    </row>
    <row r="14" spans="1:31" customFormat="1" ht="12.75" customHeight="1" thickBot="1" x14ac:dyDescent="0.3">
      <c r="A14" s="345" t="s">
        <v>1094</v>
      </c>
      <c r="B14" s="498"/>
      <c r="C14" s="499"/>
      <c r="D14" s="469" t="s">
        <v>1095</v>
      </c>
      <c r="E14" s="499"/>
      <c r="F14" s="500"/>
      <c r="G14" s="500"/>
      <c r="H14" s="501">
        <v>279</v>
      </c>
      <c r="I14" s="501">
        <v>7</v>
      </c>
      <c r="J14" s="501">
        <v>7519</v>
      </c>
      <c r="K14" s="349">
        <f t="shared" si="0"/>
        <v>7805</v>
      </c>
      <c r="L14" s="501">
        <v>234</v>
      </c>
      <c r="M14" s="501">
        <v>178</v>
      </c>
      <c r="N14" s="501">
        <v>7861</v>
      </c>
      <c r="O14" s="349">
        <f t="shared" si="1"/>
        <v>8273</v>
      </c>
      <c r="P14" s="502">
        <v>234</v>
      </c>
      <c r="Q14" s="502">
        <v>178</v>
      </c>
      <c r="R14" s="502">
        <v>10570</v>
      </c>
      <c r="S14" s="349">
        <f t="shared" si="2"/>
        <v>10982</v>
      </c>
      <c r="T14" s="7"/>
      <c r="U14" s="169">
        <f t="shared" si="3"/>
        <v>-468</v>
      </c>
      <c r="V14" s="164">
        <f t="shared" si="4"/>
        <v>5.9961563100576556E-2</v>
      </c>
      <c r="W14" s="7"/>
      <c r="X14" s="61"/>
      <c r="Y14" s="388"/>
      <c r="Z14" s="5">
        <f t="shared" si="5"/>
        <v>0</v>
      </c>
      <c r="AA14" s="5">
        <f t="shared" si="6"/>
        <v>0</v>
      </c>
      <c r="AB14" s="5">
        <f t="shared" si="7"/>
        <v>0</v>
      </c>
      <c r="AC14" s="156" t="str">
        <f t="shared" si="8"/>
        <v/>
      </c>
    </row>
    <row r="15" spans="1:31" customFormat="1" ht="12.75" customHeight="1" thickBot="1" x14ac:dyDescent="0.3">
      <c r="A15" s="345" t="s">
        <v>1096</v>
      </c>
      <c r="B15" s="498"/>
      <c r="C15" s="499"/>
      <c r="D15" s="469" t="s">
        <v>1097</v>
      </c>
      <c r="E15" s="499"/>
      <c r="F15" s="500"/>
      <c r="G15" s="500"/>
      <c r="H15" s="501">
        <v>6</v>
      </c>
      <c r="I15" s="501">
        <v>10</v>
      </c>
      <c r="J15" s="501">
        <v>701</v>
      </c>
      <c r="K15" s="349">
        <f t="shared" si="0"/>
        <v>717</v>
      </c>
      <c r="L15" s="501">
        <v>0</v>
      </c>
      <c r="M15" s="501">
        <v>15</v>
      </c>
      <c r="N15" s="501">
        <v>768</v>
      </c>
      <c r="O15" s="349">
        <f t="shared" si="1"/>
        <v>783</v>
      </c>
      <c r="P15" s="502">
        <v>0</v>
      </c>
      <c r="Q15" s="502">
        <v>15</v>
      </c>
      <c r="R15" s="502">
        <v>768</v>
      </c>
      <c r="S15" s="349">
        <f t="shared" si="2"/>
        <v>783</v>
      </c>
      <c r="T15" s="7"/>
      <c r="U15" s="169">
        <f t="shared" si="3"/>
        <v>-66</v>
      </c>
      <c r="V15" s="164">
        <f t="shared" si="4"/>
        <v>9.2050209205020925E-2</v>
      </c>
      <c r="W15" s="7"/>
      <c r="X15" s="61"/>
      <c r="Y15" s="388"/>
      <c r="Z15" s="5">
        <f t="shared" si="5"/>
        <v>0</v>
      </c>
      <c r="AA15" s="5">
        <f t="shared" si="6"/>
        <v>0</v>
      </c>
      <c r="AB15" s="5">
        <f t="shared" si="7"/>
        <v>0</v>
      </c>
      <c r="AC15" s="156" t="str">
        <f t="shared" si="8"/>
        <v/>
      </c>
    </row>
    <row r="16" spans="1:31" customFormat="1" ht="12.75" customHeight="1" x14ac:dyDescent="0.25">
      <c r="A16" s="345" t="s">
        <v>1098</v>
      </c>
      <c r="B16" s="503"/>
      <c r="C16" s="504" t="s">
        <v>1099</v>
      </c>
      <c r="D16" s="391"/>
      <c r="E16" s="391"/>
      <c r="F16" s="392"/>
      <c r="G16" s="392"/>
      <c r="H16" s="349">
        <f t="shared" ref="H16:S16" si="9">SUM(H9:H15)</f>
        <v>15212</v>
      </c>
      <c r="I16" s="349">
        <f t="shared" si="9"/>
        <v>68</v>
      </c>
      <c r="J16" s="349">
        <f t="shared" si="9"/>
        <v>19551</v>
      </c>
      <c r="K16" s="349">
        <f t="shared" si="9"/>
        <v>34831</v>
      </c>
      <c r="L16" s="349">
        <f t="shared" si="9"/>
        <v>15784</v>
      </c>
      <c r="M16" s="349">
        <f t="shared" si="9"/>
        <v>301</v>
      </c>
      <c r="N16" s="349">
        <f t="shared" si="9"/>
        <v>20435</v>
      </c>
      <c r="O16" s="349">
        <f t="shared" si="9"/>
        <v>36520</v>
      </c>
      <c r="P16" s="349">
        <f t="shared" si="9"/>
        <v>15784</v>
      </c>
      <c r="Q16" s="349">
        <f t="shared" si="9"/>
        <v>301</v>
      </c>
      <c r="R16" s="349">
        <f t="shared" si="9"/>
        <v>25853</v>
      </c>
      <c r="S16" s="349">
        <f t="shared" si="9"/>
        <v>41938</v>
      </c>
      <c r="T16" s="7"/>
      <c r="U16" s="32">
        <f t="shared" si="3"/>
        <v>-1689</v>
      </c>
      <c r="V16" s="7">
        <f t="shared" si="4"/>
        <v>4.849128649766013E-2</v>
      </c>
      <c r="W16" s="7"/>
      <c r="X16" s="90"/>
      <c r="Y16" s="388"/>
    </row>
    <row r="17" spans="1:29" customFormat="1" ht="12.75" customHeight="1" thickBot="1" x14ac:dyDescent="0.3">
      <c r="A17" s="345" t="s">
        <v>725</v>
      </c>
      <c r="B17" s="493"/>
      <c r="C17" s="494" t="str">
        <f>IF(Title_Page!B4="W","Rest of UK domicile students (England, Northern Ireland, Scotland)",IF(Title_Page!B4="S","Rest of UK domicile students (England, Northern Ireland, Wales)",IF(Title_Page!B4="N","Rest of UK domicile students (England, Scotland, Wales)","Rest of UK domicile students")))</f>
        <v>Rest of UK domicile students (England, Northern Ireland, Wales)</v>
      </c>
      <c r="D17" s="495"/>
      <c r="E17" s="495"/>
      <c r="F17" s="496"/>
      <c r="G17" s="496"/>
      <c r="H17" s="505"/>
      <c r="I17" s="505"/>
      <c r="J17" s="505"/>
      <c r="K17" s="505"/>
      <c r="L17" s="505"/>
      <c r="M17" s="505"/>
      <c r="N17" s="505"/>
      <c r="O17" s="505"/>
      <c r="P17" s="505"/>
      <c r="Q17" s="505"/>
      <c r="R17" s="505"/>
      <c r="S17" s="505"/>
      <c r="T17" s="7"/>
    </row>
    <row r="18" spans="1:29" customFormat="1" ht="12.75" customHeight="1" thickBot="1" x14ac:dyDescent="0.3">
      <c r="A18" s="345" t="s">
        <v>1084</v>
      </c>
      <c r="B18" s="498"/>
      <c r="C18" s="499"/>
      <c r="D18" s="469" t="s">
        <v>1085</v>
      </c>
      <c r="E18" s="499"/>
      <c r="F18" s="500"/>
      <c r="G18" s="500"/>
      <c r="H18" s="501">
        <v>50778</v>
      </c>
      <c r="I18" s="501">
        <v>1279</v>
      </c>
      <c r="J18" s="501">
        <v>12817</v>
      </c>
      <c r="K18" s="349">
        <f t="shared" ref="K18:K24" si="10">SUM(H18:J18)</f>
        <v>64874</v>
      </c>
      <c r="L18" s="501">
        <v>51537</v>
      </c>
      <c r="M18" s="501">
        <v>1152</v>
      </c>
      <c r="N18" s="501">
        <v>12328</v>
      </c>
      <c r="O18" s="349">
        <f t="shared" ref="O18:O24" si="11">SUM(L18:N18)</f>
        <v>65017</v>
      </c>
      <c r="P18" s="502">
        <v>51537</v>
      </c>
      <c r="Q18" s="502">
        <v>1152</v>
      </c>
      <c r="R18" s="502">
        <v>12328</v>
      </c>
      <c r="S18" s="349">
        <f t="shared" ref="S18:S24" si="12">SUM(P18:R18)</f>
        <v>65017</v>
      </c>
      <c r="T18" s="7"/>
      <c r="U18" s="169">
        <f t="shared" ref="U18:U25" si="13">K18-O18</f>
        <v>-143</v>
      </c>
      <c r="V18" s="164">
        <f t="shared" ref="V18:V25" si="14">IF(AND(OR(K18=0,O18&lt;&gt;0),OR(O18=0,K18&lt;&gt;0)),IF((K18+O18+U18&lt;&gt;0),IF(AND(OR(K18&gt;0,O18&lt;0),OR(O18&gt;0,K18&lt;0)),ABS(U18/MIN(ABS(O18),ABS(K18))),10),"-"),10)</f>
        <v>2.2042728982334986E-3</v>
      </c>
      <c r="W18" s="7"/>
      <c r="X18" s="61"/>
      <c r="Y18" s="388"/>
      <c r="Z18" s="5">
        <f t="shared" ref="Z18:Z24" si="15">IF(AND(U18&gt;750,V18&gt;2),1,0)</f>
        <v>0</v>
      </c>
      <c r="AA18" s="5">
        <f t="shared" ref="AA18:AA24" si="16">IF(AND(U18&lt;-750,V18&gt;2),1,0)</f>
        <v>0</v>
      </c>
      <c r="AB18" s="5">
        <f t="shared" ref="AB18:AB24" si="17">SUM(Z18:AA18)</f>
        <v>0</v>
      </c>
      <c r="AC18" s="156" t="str">
        <f t="shared" ref="AC18:AC24" si="18">IF(AB18&lt;&gt;0,$A$17&amp;A18&amp;" ("&amp;K18&amp;", "&amp;O18&amp;")"&amp;", ","")</f>
        <v/>
      </c>
    </row>
    <row r="19" spans="1:29" customFormat="1" ht="12.75" customHeight="1" thickBot="1" x14ac:dyDescent="0.3">
      <c r="A19" s="345" t="s">
        <v>1086</v>
      </c>
      <c r="B19" s="498"/>
      <c r="C19" s="499"/>
      <c r="D19" s="469" t="s">
        <v>1087</v>
      </c>
      <c r="E19" s="499"/>
      <c r="F19" s="500"/>
      <c r="G19" s="500"/>
      <c r="H19" s="501">
        <v>0</v>
      </c>
      <c r="I19" s="501">
        <v>0</v>
      </c>
      <c r="J19" s="501">
        <v>0</v>
      </c>
      <c r="K19" s="349">
        <f t="shared" si="10"/>
        <v>0</v>
      </c>
      <c r="L19" s="501">
        <v>0</v>
      </c>
      <c r="M19" s="501">
        <v>0</v>
      </c>
      <c r="N19" s="501">
        <v>0</v>
      </c>
      <c r="O19" s="349">
        <f t="shared" si="11"/>
        <v>0</v>
      </c>
      <c r="P19" s="502">
        <v>0</v>
      </c>
      <c r="Q19" s="502">
        <v>0</v>
      </c>
      <c r="R19" s="502">
        <v>0</v>
      </c>
      <c r="S19" s="349">
        <f t="shared" si="12"/>
        <v>0</v>
      </c>
      <c r="T19" s="7"/>
      <c r="U19" s="169">
        <f t="shared" si="13"/>
        <v>0</v>
      </c>
      <c r="V19" s="164" t="str">
        <f t="shared" si="14"/>
        <v>-</v>
      </c>
      <c r="W19" s="7"/>
      <c r="X19" s="61"/>
      <c r="Y19" s="388"/>
      <c r="Z19" s="5">
        <f t="shared" si="15"/>
        <v>0</v>
      </c>
      <c r="AA19" s="5">
        <f t="shared" si="16"/>
        <v>0</v>
      </c>
      <c r="AB19" s="5">
        <f t="shared" si="17"/>
        <v>0</v>
      </c>
      <c r="AC19" s="156" t="str">
        <f t="shared" si="18"/>
        <v/>
      </c>
    </row>
    <row r="20" spans="1:29" customFormat="1" ht="12.75" customHeight="1" thickBot="1" x14ac:dyDescent="0.3">
      <c r="A20" s="345" t="s">
        <v>1088</v>
      </c>
      <c r="B20" s="498"/>
      <c r="C20" s="499"/>
      <c r="D20" s="469" t="s">
        <v>1089</v>
      </c>
      <c r="E20" s="499"/>
      <c r="F20" s="500"/>
      <c r="G20" s="500"/>
      <c r="H20" s="501">
        <v>0</v>
      </c>
      <c r="I20" s="501">
        <v>0</v>
      </c>
      <c r="J20" s="501">
        <v>0</v>
      </c>
      <c r="K20" s="349">
        <f t="shared" si="10"/>
        <v>0</v>
      </c>
      <c r="L20" s="501">
        <v>0</v>
      </c>
      <c r="M20" s="501">
        <v>0</v>
      </c>
      <c r="N20" s="501">
        <v>0</v>
      </c>
      <c r="O20" s="349">
        <f t="shared" si="11"/>
        <v>0</v>
      </c>
      <c r="P20" s="502">
        <v>0</v>
      </c>
      <c r="Q20" s="502">
        <v>0</v>
      </c>
      <c r="R20" s="502">
        <v>0</v>
      </c>
      <c r="S20" s="349">
        <f t="shared" si="12"/>
        <v>0</v>
      </c>
      <c r="T20" s="7"/>
      <c r="U20" s="169">
        <f t="shared" si="13"/>
        <v>0</v>
      </c>
      <c r="V20" s="164" t="str">
        <f t="shared" si="14"/>
        <v>-</v>
      </c>
      <c r="W20" s="7"/>
      <c r="X20" s="61"/>
      <c r="Y20" s="388"/>
      <c r="Z20" s="5">
        <f t="shared" si="15"/>
        <v>0</v>
      </c>
      <c r="AA20" s="5">
        <f t="shared" si="16"/>
        <v>0</v>
      </c>
      <c r="AB20" s="5">
        <f t="shared" si="17"/>
        <v>0</v>
      </c>
      <c r="AC20" s="156" t="str">
        <f t="shared" si="18"/>
        <v/>
      </c>
    </row>
    <row r="21" spans="1:29" customFormat="1" ht="12.75" customHeight="1" thickBot="1" x14ac:dyDescent="0.3">
      <c r="A21" s="345" t="s">
        <v>1090</v>
      </c>
      <c r="B21" s="498"/>
      <c r="C21" s="499"/>
      <c r="D21" s="469" t="s">
        <v>1091</v>
      </c>
      <c r="E21" s="499"/>
      <c r="F21" s="500"/>
      <c r="G21" s="500"/>
      <c r="H21" s="501">
        <v>0</v>
      </c>
      <c r="I21" s="501">
        <v>0</v>
      </c>
      <c r="J21" s="501">
        <v>0</v>
      </c>
      <c r="K21" s="349">
        <f t="shared" si="10"/>
        <v>0</v>
      </c>
      <c r="L21" s="501">
        <v>0</v>
      </c>
      <c r="M21" s="501">
        <v>0</v>
      </c>
      <c r="N21" s="501">
        <v>0</v>
      </c>
      <c r="O21" s="349">
        <f t="shared" si="11"/>
        <v>0</v>
      </c>
      <c r="P21" s="502">
        <v>0</v>
      </c>
      <c r="Q21" s="502">
        <v>0</v>
      </c>
      <c r="R21" s="502">
        <v>0</v>
      </c>
      <c r="S21" s="349">
        <f t="shared" si="12"/>
        <v>0</v>
      </c>
      <c r="T21" s="7"/>
      <c r="U21" s="169">
        <f t="shared" si="13"/>
        <v>0</v>
      </c>
      <c r="V21" s="164" t="str">
        <f t="shared" si="14"/>
        <v>-</v>
      </c>
      <c r="W21" s="7"/>
      <c r="X21" s="61"/>
      <c r="Y21" s="388"/>
      <c r="Z21" s="5">
        <f t="shared" si="15"/>
        <v>0</v>
      </c>
      <c r="AA21" s="5">
        <f t="shared" si="16"/>
        <v>0</v>
      </c>
      <c r="AB21" s="5">
        <f t="shared" si="17"/>
        <v>0</v>
      </c>
      <c r="AC21" s="156" t="str">
        <f t="shared" si="18"/>
        <v/>
      </c>
    </row>
    <row r="22" spans="1:29" customFormat="1" ht="12.75" customHeight="1" thickBot="1" x14ac:dyDescent="0.3">
      <c r="A22" s="345" t="s">
        <v>1092</v>
      </c>
      <c r="B22" s="498"/>
      <c r="C22" s="499"/>
      <c r="D22" s="469" t="s">
        <v>1093</v>
      </c>
      <c r="E22" s="499"/>
      <c r="F22" s="500"/>
      <c r="G22" s="500"/>
      <c r="H22" s="501">
        <v>0</v>
      </c>
      <c r="I22" s="501">
        <v>0</v>
      </c>
      <c r="J22" s="501">
        <v>0</v>
      </c>
      <c r="K22" s="349">
        <f t="shared" si="10"/>
        <v>0</v>
      </c>
      <c r="L22" s="501">
        <v>0</v>
      </c>
      <c r="M22" s="501">
        <v>0</v>
      </c>
      <c r="N22" s="501">
        <v>0</v>
      </c>
      <c r="O22" s="349">
        <f t="shared" si="11"/>
        <v>0</v>
      </c>
      <c r="P22" s="502">
        <v>0</v>
      </c>
      <c r="Q22" s="502">
        <v>0</v>
      </c>
      <c r="R22" s="502">
        <v>0</v>
      </c>
      <c r="S22" s="349">
        <f t="shared" si="12"/>
        <v>0</v>
      </c>
      <c r="T22" s="7"/>
      <c r="U22" s="169">
        <f t="shared" si="13"/>
        <v>0</v>
      </c>
      <c r="V22" s="164" t="str">
        <f t="shared" si="14"/>
        <v>-</v>
      </c>
      <c r="W22" s="7"/>
      <c r="X22" s="61"/>
      <c r="Y22" s="388"/>
      <c r="Z22" s="5">
        <f t="shared" si="15"/>
        <v>0</v>
      </c>
      <c r="AA22" s="5">
        <f t="shared" si="16"/>
        <v>0</v>
      </c>
      <c r="AB22" s="5">
        <f t="shared" si="17"/>
        <v>0</v>
      </c>
      <c r="AC22" s="156" t="str">
        <f t="shared" si="18"/>
        <v/>
      </c>
    </row>
    <row r="23" spans="1:29" customFormat="1" ht="12.75" customHeight="1" thickBot="1" x14ac:dyDescent="0.3">
      <c r="A23" s="345" t="s">
        <v>1094</v>
      </c>
      <c r="B23" s="498"/>
      <c r="C23" s="499"/>
      <c r="D23" s="469" t="s">
        <v>1095</v>
      </c>
      <c r="E23" s="499"/>
      <c r="F23" s="500"/>
      <c r="G23" s="500"/>
      <c r="H23" s="501">
        <v>0</v>
      </c>
      <c r="I23" s="501">
        <v>0</v>
      </c>
      <c r="J23" s="501">
        <v>0</v>
      </c>
      <c r="K23" s="349">
        <f t="shared" si="10"/>
        <v>0</v>
      </c>
      <c r="L23" s="501">
        <v>0</v>
      </c>
      <c r="M23" s="501">
        <v>0</v>
      </c>
      <c r="N23" s="501">
        <v>0</v>
      </c>
      <c r="O23" s="349">
        <f t="shared" si="11"/>
        <v>0</v>
      </c>
      <c r="P23" s="502">
        <v>0</v>
      </c>
      <c r="Q23" s="502">
        <v>0</v>
      </c>
      <c r="R23" s="502">
        <v>0</v>
      </c>
      <c r="S23" s="349">
        <f t="shared" si="12"/>
        <v>0</v>
      </c>
      <c r="T23" s="7"/>
      <c r="U23" s="169">
        <f t="shared" si="13"/>
        <v>0</v>
      </c>
      <c r="V23" s="164" t="str">
        <f t="shared" si="14"/>
        <v>-</v>
      </c>
      <c r="W23" s="7"/>
      <c r="X23" s="61"/>
      <c r="Y23" s="388"/>
      <c r="Z23" s="5">
        <f t="shared" si="15"/>
        <v>0</v>
      </c>
      <c r="AA23" s="5">
        <f t="shared" si="16"/>
        <v>0</v>
      </c>
      <c r="AB23" s="5">
        <f t="shared" si="17"/>
        <v>0</v>
      </c>
      <c r="AC23" s="156" t="str">
        <f t="shared" si="18"/>
        <v/>
      </c>
    </row>
    <row r="24" spans="1:29" customFormat="1" ht="12.75" customHeight="1" thickBot="1" x14ac:dyDescent="0.3">
      <c r="A24" s="345" t="s">
        <v>1096</v>
      </c>
      <c r="B24" s="498"/>
      <c r="C24" s="499"/>
      <c r="D24" s="469" t="s">
        <v>1097</v>
      </c>
      <c r="E24" s="499"/>
      <c r="F24" s="500"/>
      <c r="G24" s="500"/>
      <c r="H24" s="501">
        <v>0</v>
      </c>
      <c r="I24" s="501">
        <v>0</v>
      </c>
      <c r="J24" s="501">
        <v>0</v>
      </c>
      <c r="K24" s="349">
        <f t="shared" si="10"/>
        <v>0</v>
      </c>
      <c r="L24" s="501">
        <v>0</v>
      </c>
      <c r="M24" s="501">
        <v>0</v>
      </c>
      <c r="N24" s="501">
        <v>0</v>
      </c>
      <c r="O24" s="349">
        <f t="shared" si="11"/>
        <v>0</v>
      </c>
      <c r="P24" s="502">
        <v>0</v>
      </c>
      <c r="Q24" s="502">
        <v>0</v>
      </c>
      <c r="R24" s="502">
        <v>0</v>
      </c>
      <c r="S24" s="349">
        <f t="shared" si="12"/>
        <v>0</v>
      </c>
      <c r="T24" s="7"/>
      <c r="U24" s="169">
        <f t="shared" si="13"/>
        <v>0</v>
      </c>
      <c r="V24" s="164" t="str">
        <f t="shared" si="14"/>
        <v>-</v>
      </c>
      <c r="W24" s="7"/>
      <c r="X24" s="61"/>
      <c r="Y24" s="388"/>
      <c r="Z24" s="5">
        <f t="shared" si="15"/>
        <v>0</v>
      </c>
      <c r="AA24" s="5">
        <f t="shared" si="16"/>
        <v>0</v>
      </c>
      <c r="AB24" s="5">
        <f t="shared" si="17"/>
        <v>0</v>
      </c>
      <c r="AC24" s="156" t="str">
        <f t="shared" si="18"/>
        <v/>
      </c>
    </row>
    <row r="25" spans="1:29" customFormat="1" ht="12.75" customHeight="1" x14ac:dyDescent="0.25">
      <c r="A25" s="345" t="s">
        <v>1098</v>
      </c>
      <c r="B25" s="503"/>
      <c r="C25" s="504" t="s">
        <v>1100</v>
      </c>
      <c r="D25" s="391"/>
      <c r="E25" s="391"/>
      <c r="F25" s="392"/>
      <c r="G25" s="392"/>
      <c r="H25" s="349">
        <f t="shared" ref="H25:S25" si="19">SUM(H18:H24)</f>
        <v>50778</v>
      </c>
      <c r="I25" s="349">
        <f t="shared" si="19"/>
        <v>1279</v>
      </c>
      <c r="J25" s="349">
        <f t="shared" si="19"/>
        <v>12817</v>
      </c>
      <c r="K25" s="349">
        <f t="shared" si="19"/>
        <v>64874</v>
      </c>
      <c r="L25" s="349">
        <f t="shared" si="19"/>
        <v>51537</v>
      </c>
      <c r="M25" s="349">
        <f t="shared" si="19"/>
        <v>1152</v>
      </c>
      <c r="N25" s="349">
        <f t="shared" si="19"/>
        <v>12328</v>
      </c>
      <c r="O25" s="349">
        <f t="shared" si="19"/>
        <v>65017</v>
      </c>
      <c r="P25" s="349">
        <f t="shared" si="19"/>
        <v>51537</v>
      </c>
      <c r="Q25" s="349">
        <f t="shared" si="19"/>
        <v>1152</v>
      </c>
      <c r="R25" s="349">
        <f t="shared" si="19"/>
        <v>12328</v>
      </c>
      <c r="S25" s="349">
        <f t="shared" si="19"/>
        <v>65017</v>
      </c>
      <c r="T25" s="7"/>
      <c r="U25" s="32">
        <f t="shared" si="13"/>
        <v>-143</v>
      </c>
      <c r="V25" s="7">
        <f t="shared" si="14"/>
        <v>2.2042728982334986E-3</v>
      </c>
      <c r="W25" s="7"/>
      <c r="X25" s="90"/>
      <c r="Y25" s="388"/>
    </row>
    <row r="26" spans="1:29" customFormat="1" ht="12.75" customHeight="1" x14ac:dyDescent="0.25">
      <c r="A26" s="345" t="s">
        <v>727</v>
      </c>
      <c r="B26" s="493"/>
      <c r="C26" s="494" t="s">
        <v>1101</v>
      </c>
      <c r="D26" s="495"/>
      <c r="E26" s="495"/>
      <c r="F26" s="496"/>
      <c r="G26" s="496"/>
      <c r="H26" s="505"/>
      <c r="I26" s="505"/>
      <c r="J26" s="505"/>
      <c r="K26" s="505"/>
      <c r="L26" s="505"/>
      <c r="M26" s="505"/>
      <c r="N26" s="505"/>
      <c r="O26" s="505"/>
      <c r="P26" s="505"/>
      <c r="Q26" s="505"/>
      <c r="R26" s="505"/>
      <c r="S26" s="505"/>
      <c r="T26" s="7"/>
      <c r="U26" s="6"/>
    </row>
    <row r="27" spans="1:29" customFormat="1" ht="12.75" customHeight="1" x14ac:dyDescent="0.25">
      <c r="A27" s="345" t="s">
        <v>1084</v>
      </c>
      <c r="B27" s="498"/>
      <c r="C27" s="499"/>
      <c r="D27" s="469" t="s">
        <v>1085</v>
      </c>
      <c r="E27" s="499"/>
      <c r="F27" s="500"/>
      <c r="G27" s="500"/>
      <c r="H27" s="506">
        <f t="shared" ref="H27:J33" si="20">SUM(H9+H18)</f>
        <v>63504</v>
      </c>
      <c r="I27" s="506">
        <f t="shared" si="20"/>
        <v>1280</v>
      </c>
      <c r="J27" s="506">
        <f t="shared" si="20"/>
        <v>13748</v>
      </c>
      <c r="K27" s="324">
        <f t="shared" ref="K27:K33" si="21">SUM(H27:J27)</f>
        <v>78532</v>
      </c>
      <c r="L27" s="506">
        <f t="shared" ref="L27:N33" si="22">SUM(L9+L18)</f>
        <v>64944</v>
      </c>
      <c r="M27" s="506">
        <f t="shared" si="22"/>
        <v>1155</v>
      </c>
      <c r="N27" s="506">
        <f t="shared" si="22"/>
        <v>13157</v>
      </c>
      <c r="O27" s="324">
        <f t="shared" ref="O27:O33" si="23">SUM(L27:N27)</f>
        <v>79256</v>
      </c>
      <c r="P27" s="349">
        <f t="shared" ref="P27:R33" si="24">SUM(P9+P18)</f>
        <v>64944</v>
      </c>
      <c r="Q27" s="349">
        <f t="shared" si="24"/>
        <v>1155</v>
      </c>
      <c r="R27" s="349">
        <f t="shared" si="24"/>
        <v>15866</v>
      </c>
      <c r="S27" s="324">
        <f t="shared" ref="S27:S33" si="25">SUM(P27:R27)</f>
        <v>81965</v>
      </c>
      <c r="T27" s="507" t="str">
        <f t="shared" ref="T27:T33" si="26">IF(K27=0,"zero",RIGHT(K27,1))</f>
        <v>2</v>
      </c>
      <c r="U27" s="32">
        <f t="shared" ref="U27:U34" si="27">K27-O27</f>
        <v>-724</v>
      </c>
      <c r="V27" s="7">
        <f t="shared" ref="V27:V34" si="28">IF(AND(OR(K27=0,O27&lt;&gt;0),OR(O27=0,K27&lt;&gt;0)),IF((K27+O27+U27&lt;&gt;0),IF(AND(OR(K27&gt;0,O27&lt;0),OR(O27&gt;0,K27&lt;0)),ABS(U27/MIN(ABS(O27),ABS(K27))),10),"-"),10)</f>
        <v>9.2191718025772928E-3</v>
      </c>
      <c r="W27" s="7"/>
      <c r="X27" s="388"/>
      <c r="Y27" s="388"/>
    </row>
    <row r="28" spans="1:29" customFormat="1" ht="12.75" customHeight="1" x14ac:dyDescent="0.25">
      <c r="A28" s="345" t="s">
        <v>1086</v>
      </c>
      <c r="B28" s="498"/>
      <c r="C28" s="499"/>
      <c r="D28" s="469" t="s">
        <v>1087</v>
      </c>
      <c r="E28" s="499"/>
      <c r="F28" s="500"/>
      <c r="G28" s="500"/>
      <c r="H28" s="506">
        <f t="shared" si="20"/>
        <v>0</v>
      </c>
      <c r="I28" s="506">
        <f t="shared" si="20"/>
        <v>0</v>
      </c>
      <c r="J28" s="506">
        <f t="shared" si="20"/>
        <v>0</v>
      </c>
      <c r="K28" s="324">
        <f t="shared" si="21"/>
        <v>0</v>
      </c>
      <c r="L28" s="506">
        <f t="shared" si="22"/>
        <v>0</v>
      </c>
      <c r="M28" s="506">
        <f t="shared" si="22"/>
        <v>0</v>
      </c>
      <c r="N28" s="506">
        <f t="shared" si="22"/>
        <v>0</v>
      </c>
      <c r="O28" s="324">
        <f t="shared" si="23"/>
        <v>0</v>
      </c>
      <c r="P28" s="349">
        <f t="shared" si="24"/>
        <v>0</v>
      </c>
      <c r="Q28" s="349">
        <f t="shared" si="24"/>
        <v>0</v>
      </c>
      <c r="R28" s="349">
        <f t="shared" si="24"/>
        <v>0</v>
      </c>
      <c r="S28" s="324">
        <f t="shared" si="25"/>
        <v>0</v>
      </c>
      <c r="T28" s="507" t="str">
        <f t="shared" si="26"/>
        <v>zero</v>
      </c>
      <c r="U28" s="32">
        <f t="shared" si="27"/>
        <v>0</v>
      </c>
      <c r="V28" s="7" t="str">
        <f t="shared" si="28"/>
        <v>-</v>
      </c>
      <c r="W28" s="7"/>
      <c r="X28" s="388"/>
      <c r="Y28" s="388"/>
    </row>
    <row r="29" spans="1:29" customFormat="1" ht="12.75" customHeight="1" x14ac:dyDescent="0.25">
      <c r="A29" s="345" t="s">
        <v>1088</v>
      </c>
      <c r="B29" s="498"/>
      <c r="C29" s="499"/>
      <c r="D29" s="469" t="s">
        <v>1089</v>
      </c>
      <c r="E29" s="499"/>
      <c r="F29" s="500"/>
      <c r="G29" s="500"/>
      <c r="H29" s="506">
        <f t="shared" si="20"/>
        <v>1980</v>
      </c>
      <c r="I29" s="506">
        <f t="shared" si="20"/>
        <v>16</v>
      </c>
      <c r="J29" s="506">
        <f t="shared" si="20"/>
        <v>6540</v>
      </c>
      <c r="K29" s="324">
        <f t="shared" si="21"/>
        <v>8536</v>
      </c>
      <c r="L29" s="506">
        <f t="shared" si="22"/>
        <v>1779</v>
      </c>
      <c r="M29" s="506">
        <f t="shared" si="22"/>
        <v>21</v>
      </c>
      <c r="N29" s="506">
        <f t="shared" si="22"/>
        <v>6280</v>
      </c>
      <c r="O29" s="324">
        <f t="shared" si="23"/>
        <v>8080</v>
      </c>
      <c r="P29" s="349">
        <f t="shared" si="24"/>
        <v>1779</v>
      </c>
      <c r="Q29" s="349">
        <f t="shared" si="24"/>
        <v>21</v>
      </c>
      <c r="R29" s="349">
        <f t="shared" si="24"/>
        <v>6280</v>
      </c>
      <c r="S29" s="324">
        <f t="shared" si="25"/>
        <v>8080</v>
      </c>
      <c r="T29" s="507" t="str">
        <f t="shared" si="26"/>
        <v>6</v>
      </c>
      <c r="U29" s="32">
        <f t="shared" si="27"/>
        <v>456</v>
      </c>
      <c r="V29" s="7">
        <f t="shared" si="28"/>
        <v>5.6435643564356437E-2</v>
      </c>
      <c r="W29" s="7"/>
      <c r="X29" s="388"/>
      <c r="Y29" s="388"/>
    </row>
    <row r="30" spans="1:29" customFormat="1" ht="12.75" customHeight="1" x14ac:dyDescent="0.25">
      <c r="A30" s="345" t="s">
        <v>1090</v>
      </c>
      <c r="B30" s="498"/>
      <c r="C30" s="499"/>
      <c r="D30" s="469" t="s">
        <v>1091</v>
      </c>
      <c r="E30" s="499"/>
      <c r="F30" s="500"/>
      <c r="G30" s="500"/>
      <c r="H30" s="506">
        <f t="shared" si="20"/>
        <v>50</v>
      </c>
      <c r="I30" s="506">
        <f t="shared" si="20"/>
        <v>30</v>
      </c>
      <c r="J30" s="506">
        <f t="shared" si="20"/>
        <v>3696</v>
      </c>
      <c r="K30" s="324">
        <f t="shared" si="21"/>
        <v>3776</v>
      </c>
      <c r="L30" s="506">
        <f t="shared" si="22"/>
        <v>55</v>
      </c>
      <c r="M30" s="506">
        <f t="shared" si="22"/>
        <v>81</v>
      </c>
      <c r="N30" s="506">
        <f t="shared" si="22"/>
        <v>4673</v>
      </c>
      <c r="O30" s="324">
        <f t="shared" si="23"/>
        <v>4809</v>
      </c>
      <c r="P30" s="349">
        <f t="shared" si="24"/>
        <v>55</v>
      </c>
      <c r="Q30" s="349">
        <f t="shared" si="24"/>
        <v>81</v>
      </c>
      <c r="R30" s="349">
        <f t="shared" si="24"/>
        <v>4673</v>
      </c>
      <c r="S30" s="324">
        <f t="shared" si="25"/>
        <v>4809</v>
      </c>
      <c r="T30" s="507" t="str">
        <f t="shared" si="26"/>
        <v>6</v>
      </c>
      <c r="U30" s="32">
        <f t="shared" si="27"/>
        <v>-1033</v>
      </c>
      <c r="V30" s="7">
        <f t="shared" si="28"/>
        <v>0.27356991525423729</v>
      </c>
      <c r="W30" s="7"/>
      <c r="X30" s="388"/>
      <c r="Y30" s="388"/>
    </row>
    <row r="31" spans="1:29" customFormat="1" ht="12.75" customHeight="1" x14ac:dyDescent="0.25">
      <c r="A31" s="345" t="s">
        <v>1092</v>
      </c>
      <c r="B31" s="498"/>
      <c r="C31" s="499"/>
      <c r="D31" s="469" t="s">
        <v>1093</v>
      </c>
      <c r="E31" s="499"/>
      <c r="F31" s="500"/>
      <c r="G31" s="500"/>
      <c r="H31" s="506">
        <f t="shared" si="20"/>
        <v>171</v>
      </c>
      <c r="I31" s="506">
        <f t="shared" si="20"/>
        <v>4</v>
      </c>
      <c r="J31" s="506">
        <f t="shared" si="20"/>
        <v>164</v>
      </c>
      <c r="K31" s="324">
        <f t="shared" si="21"/>
        <v>339</v>
      </c>
      <c r="L31" s="506">
        <f t="shared" si="22"/>
        <v>309</v>
      </c>
      <c r="M31" s="506">
        <f t="shared" si="22"/>
        <v>3</v>
      </c>
      <c r="N31" s="506">
        <f t="shared" si="22"/>
        <v>24</v>
      </c>
      <c r="O31" s="324">
        <f t="shared" si="23"/>
        <v>336</v>
      </c>
      <c r="P31" s="349">
        <f t="shared" si="24"/>
        <v>309</v>
      </c>
      <c r="Q31" s="349">
        <f t="shared" si="24"/>
        <v>3</v>
      </c>
      <c r="R31" s="349">
        <f t="shared" si="24"/>
        <v>24</v>
      </c>
      <c r="S31" s="324">
        <f t="shared" si="25"/>
        <v>336</v>
      </c>
      <c r="T31" s="507" t="str">
        <f t="shared" si="26"/>
        <v>9</v>
      </c>
      <c r="U31" s="32">
        <f t="shared" si="27"/>
        <v>3</v>
      </c>
      <c r="V31" s="7">
        <f t="shared" si="28"/>
        <v>8.9285714285714281E-3</v>
      </c>
      <c r="W31" s="7"/>
      <c r="X31" s="388"/>
      <c r="Y31" s="388"/>
    </row>
    <row r="32" spans="1:29" customFormat="1" ht="12.75" customHeight="1" x14ac:dyDescent="0.25">
      <c r="A32" s="345" t="s">
        <v>1094</v>
      </c>
      <c r="B32" s="498"/>
      <c r="C32" s="499"/>
      <c r="D32" s="469" t="s">
        <v>1095</v>
      </c>
      <c r="E32" s="499"/>
      <c r="F32" s="500"/>
      <c r="G32" s="500"/>
      <c r="H32" s="506">
        <f t="shared" si="20"/>
        <v>279</v>
      </c>
      <c r="I32" s="506">
        <f t="shared" si="20"/>
        <v>7</v>
      </c>
      <c r="J32" s="506">
        <f t="shared" si="20"/>
        <v>7519</v>
      </c>
      <c r="K32" s="324">
        <f t="shared" si="21"/>
        <v>7805</v>
      </c>
      <c r="L32" s="506">
        <f t="shared" si="22"/>
        <v>234</v>
      </c>
      <c r="M32" s="506">
        <f t="shared" si="22"/>
        <v>178</v>
      </c>
      <c r="N32" s="506">
        <f t="shared" si="22"/>
        <v>7861</v>
      </c>
      <c r="O32" s="324">
        <f t="shared" si="23"/>
        <v>8273</v>
      </c>
      <c r="P32" s="349">
        <f t="shared" si="24"/>
        <v>234</v>
      </c>
      <c r="Q32" s="349">
        <f t="shared" si="24"/>
        <v>178</v>
      </c>
      <c r="R32" s="349">
        <f t="shared" si="24"/>
        <v>10570</v>
      </c>
      <c r="S32" s="324">
        <f t="shared" si="25"/>
        <v>10982</v>
      </c>
      <c r="T32" s="507" t="str">
        <f t="shared" si="26"/>
        <v>5</v>
      </c>
      <c r="U32" s="32">
        <f t="shared" si="27"/>
        <v>-468</v>
      </c>
      <c r="V32" s="7">
        <f t="shared" si="28"/>
        <v>5.9961563100576556E-2</v>
      </c>
      <c r="W32" s="7"/>
      <c r="X32" s="388"/>
      <c r="Y32" s="388"/>
    </row>
    <row r="33" spans="1:29" customFormat="1" ht="12.75" customHeight="1" x14ac:dyDescent="0.25">
      <c r="A33" s="345" t="s">
        <v>1096</v>
      </c>
      <c r="B33" s="498"/>
      <c r="C33" s="499"/>
      <c r="D33" s="469" t="s">
        <v>1097</v>
      </c>
      <c r="E33" s="499"/>
      <c r="F33" s="500"/>
      <c r="G33" s="500"/>
      <c r="H33" s="506">
        <f t="shared" si="20"/>
        <v>6</v>
      </c>
      <c r="I33" s="506">
        <f t="shared" si="20"/>
        <v>10</v>
      </c>
      <c r="J33" s="506">
        <f t="shared" si="20"/>
        <v>701</v>
      </c>
      <c r="K33" s="324">
        <f t="shared" si="21"/>
        <v>717</v>
      </c>
      <c r="L33" s="506">
        <f t="shared" si="22"/>
        <v>0</v>
      </c>
      <c r="M33" s="506">
        <f t="shared" si="22"/>
        <v>15</v>
      </c>
      <c r="N33" s="506">
        <f t="shared" si="22"/>
        <v>768</v>
      </c>
      <c r="O33" s="324">
        <f t="shared" si="23"/>
        <v>783</v>
      </c>
      <c r="P33" s="349">
        <f t="shared" si="24"/>
        <v>0</v>
      </c>
      <c r="Q33" s="349">
        <f t="shared" si="24"/>
        <v>15</v>
      </c>
      <c r="R33" s="349">
        <f t="shared" si="24"/>
        <v>768</v>
      </c>
      <c r="S33" s="324">
        <f t="shared" si="25"/>
        <v>783</v>
      </c>
      <c r="T33" s="507" t="str">
        <f t="shared" si="26"/>
        <v>7</v>
      </c>
      <c r="U33" s="32">
        <f t="shared" si="27"/>
        <v>-66</v>
      </c>
      <c r="V33" s="7">
        <f t="shared" si="28"/>
        <v>9.2050209205020925E-2</v>
      </c>
      <c r="W33" s="7"/>
      <c r="X33" s="388"/>
      <c r="Y33" s="388"/>
    </row>
    <row r="34" spans="1:29" customFormat="1" ht="12.75" customHeight="1" x14ac:dyDescent="0.25">
      <c r="A34" s="345" t="s">
        <v>1098</v>
      </c>
      <c r="B34" s="503"/>
      <c r="C34" s="504" t="s">
        <v>1102</v>
      </c>
      <c r="D34" s="391"/>
      <c r="E34" s="391"/>
      <c r="F34" s="392"/>
      <c r="G34" s="392"/>
      <c r="H34" s="324">
        <f t="shared" ref="H34:S34" si="29">SUM(H27:H33)</f>
        <v>65990</v>
      </c>
      <c r="I34" s="324">
        <f t="shared" si="29"/>
        <v>1347</v>
      </c>
      <c r="J34" s="324">
        <f t="shared" si="29"/>
        <v>32368</v>
      </c>
      <c r="K34" s="324">
        <f t="shared" si="29"/>
        <v>99705</v>
      </c>
      <c r="L34" s="324">
        <f t="shared" si="29"/>
        <v>67321</v>
      </c>
      <c r="M34" s="324">
        <f t="shared" si="29"/>
        <v>1453</v>
      </c>
      <c r="N34" s="324">
        <f t="shared" si="29"/>
        <v>32763</v>
      </c>
      <c r="O34" s="324">
        <f t="shared" si="29"/>
        <v>101537</v>
      </c>
      <c r="P34" s="324">
        <f t="shared" si="29"/>
        <v>67321</v>
      </c>
      <c r="Q34" s="324">
        <f t="shared" si="29"/>
        <v>1453</v>
      </c>
      <c r="R34" s="324">
        <f t="shared" si="29"/>
        <v>38181</v>
      </c>
      <c r="S34" s="324">
        <f t="shared" si="29"/>
        <v>106955</v>
      </c>
      <c r="T34" s="7"/>
      <c r="U34" s="32">
        <f t="shared" si="27"/>
        <v>-1832</v>
      </c>
      <c r="V34" s="7">
        <f t="shared" si="28"/>
        <v>1.8374203901509453E-2</v>
      </c>
      <c r="W34" s="7"/>
      <c r="X34" s="388"/>
      <c r="Y34" s="388"/>
    </row>
    <row r="35" spans="1:29" customFormat="1" ht="12.75" customHeight="1" x14ac:dyDescent="0.25">
      <c r="A35" s="345"/>
      <c r="B35" s="422"/>
      <c r="C35" s="508"/>
      <c r="D35" s="333"/>
      <c r="E35" s="333"/>
      <c r="F35" s="334"/>
      <c r="G35" s="334"/>
      <c r="H35" s="65"/>
      <c r="I35" s="65"/>
      <c r="J35" s="65"/>
      <c r="K35" s="65"/>
      <c r="L35" s="65"/>
      <c r="M35" s="65"/>
      <c r="N35" s="65"/>
      <c r="O35" s="65"/>
      <c r="P35" s="65"/>
      <c r="Q35" s="65"/>
      <c r="R35" s="65"/>
      <c r="S35" s="65"/>
      <c r="T35" s="7"/>
    </row>
    <row r="36" spans="1:29" customFormat="1" ht="12.75" customHeight="1" thickBot="1" x14ac:dyDescent="0.3">
      <c r="A36" s="345" t="s">
        <v>729</v>
      </c>
      <c r="B36" s="493"/>
      <c r="C36" s="466" t="s">
        <v>1103</v>
      </c>
      <c r="D36" s="495"/>
      <c r="E36" s="495"/>
      <c r="F36" s="496"/>
      <c r="G36" s="496"/>
      <c r="H36" s="509"/>
      <c r="I36" s="509"/>
      <c r="J36" s="509"/>
      <c r="K36" s="509"/>
      <c r="L36" s="509"/>
      <c r="M36" s="509"/>
      <c r="N36" s="509"/>
      <c r="O36" s="509"/>
      <c r="P36" s="509"/>
      <c r="Q36" s="509"/>
      <c r="R36" s="509"/>
      <c r="S36" s="509"/>
      <c r="T36" s="7"/>
    </row>
    <row r="37" spans="1:29" customFormat="1" ht="12.75" customHeight="1" thickBot="1" x14ac:dyDescent="0.3">
      <c r="A37" s="345" t="s">
        <v>1084</v>
      </c>
      <c r="B37" s="498"/>
      <c r="C37" s="499"/>
      <c r="D37" s="469" t="s">
        <v>1085</v>
      </c>
      <c r="E37" s="499"/>
      <c r="F37" s="500"/>
      <c r="G37" s="500"/>
      <c r="H37" s="510">
        <v>4452</v>
      </c>
      <c r="I37" s="510">
        <v>9</v>
      </c>
      <c r="J37" s="510">
        <v>3191</v>
      </c>
      <c r="K37" s="447">
        <f t="shared" ref="K37:K43" si="30">SUM(H37:J37)</f>
        <v>7652</v>
      </c>
      <c r="L37" s="510">
        <v>4249</v>
      </c>
      <c r="M37" s="501">
        <v>7</v>
      </c>
      <c r="N37" s="510">
        <v>3508</v>
      </c>
      <c r="O37" s="447">
        <f t="shared" ref="O37:O43" si="31">SUM(L37:N37)</f>
        <v>7764</v>
      </c>
      <c r="P37" s="511">
        <v>4249</v>
      </c>
      <c r="Q37" s="511">
        <v>7</v>
      </c>
      <c r="R37" s="511">
        <v>799</v>
      </c>
      <c r="S37" s="448">
        <f t="shared" ref="S37:S43" si="32">SUM(P37:R37)</f>
        <v>5055</v>
      </c>
      <c r="T37" s="507" t="str">
        <f t="shared" ref="T37:T43" si="33">IF(K37=0,"zero",RIGHT(K37,1))</f>
        <v>2</v>
      </c>
      <c r="U37" s="169">
        <f t="shared" ref="U37:U44" si="34">K37-O37</f>
        <v>-112</v>
      </c>
      <c r="V37" s="164">
        <f t="shared" ref="V37:V44" si="35">IF(AND(OR(K37=0,O37&lt;&gt;0),OR(O37=0,K37&lt;&gt;0)),IF((K37+O37+U37&lt;&gt;0),IF(AND(OR(K37&gt;0,O37&lt;0),OR(O37&gt;0,K37&lt;0)),ABS(U37/MIN(ABS(O37),ABS(K37))),10),"-"),10)</f>
        <v>1.4636696288552013E-2</v>
      </c>
      <c r="W37" s="7"/>
      <c r="X37" s="61"/>
      <c r="Y37" s="388"/>
      <c r="Z37" s="5">
        <f t="shared" ref="Z37:Z43" si="36">IF(AND(U37&gt;750,V37&gt;2),1,0)</f>
        <v>0</v>
      </c>
      <c r="AA37" s="5">
        <f t="shared" ref="AA37:AA43" si="37">IF(AND(U37&lt;-750,V37&gt;2),1,0)</f>
        <v>0</v>
      </c>
      <c r="AB37" s="5">
        <f t="shared" ref="AB37:AB43" si="38">SUM(Z37:AA37)</f>
        <v>0</v>
      </c>
      <c r="AC37" s="156" t="str">
        <f t="shared" ref="AC37:AC43" si="39">IF(AB37&lt;&gt;0,$A$36&amp;A37&amp;" ("&amp;K37&amp;", "&amp;O37&amp;")"&amp;", ","")</f>
        <v/>
      </c>
    </row>
    <row r="38" spans="1:29" customFormat="1" ht="12.75" customHeight="1" thickBot="1" x14ac:dyDescent="0.3">
      <c r="A38" s="345" t="s">
        <v>1086</v>
      </c>
      <c r="B38" s="498"/>
      <c r="C38" s="499"/>
      <c r="D38" s="469" t="s">
        <v>1087</v>
      </c>
      <c r="E38" s="499"/>
      <c r="F38" s="17"/>
      <c r="G38" s="17"/>
      <c r="H38" s="510">
        <v>0</v>
      </c>
      <c r="I38" s="510">
        <v>0</v>
      </c>
      <c r="J38" s="510">
        <v>0</v>
      </c>
      <c r="K38" s="447">
        <f t="shared" si="30"/>
        <v>0</v>
      </c>
      <c r="L38" s="510">
        <v>0</v>
      </c>
      <c r="M38" s="501">
        <v>0</v>
      </c>
      <c r="N38" s="510">
        <v>0</v>
      </c>
      <c r="O38" s="447">
        <f t="shared" si="31"/>
        <v>0</v>
      </c>
      <c r="P38" s="511">
        <v>0</v>
      </c>
      <c r="Q38" s="511">
        <v>0</v>
      </c>
      <c r="R38" s="511">
        <v>0</v>
      </c>
      <c r="S38" s="448">
        <f t="shared" si="32"/>
        <v>0</v>
      </c>
      <c r="T38" s="507" t="str">
        <f t="shared" si="33"/>
        <v>zero</v>
      </c>
      <c r="U38" s="169">
        <f t="shared" si="34"/>
        <v>0</v>
      </c>
      <c r="V38" s="164" t="str">
        <f t="shared" si="35"/>
        <v>-</v>
      </c>
      <c r="W38" s="7"/>
      <c r="X38" s="61"/>
      <c r="Y38" s="388"/>
      <c r="Z38" s="5">
        <f t="shared" si="36"/>
        <v>0</v>
      </c>
      <c r="AA38" s="5">
        <f t="shared" si="37"/>
        <v>0</v>
      </c>
      <c r="AB38" s="5">
        <f t="shared" si="38"/>
        <v>0</v>
      </c>
      <c r="AC38" s="156" t="str">
        <f t="shared" si="39"/>
        <v/>
      </c>
    </row>
    <row r="39" spans="1:29" customFormat="1" ht="12.75" customHeight="1" thickBot="1" x14ac:dyDescent="0.3">
      <c r="A39" s="345" t="s">
        <v>1088</v>
      </c>
      <c r="B39" s="498"/>
      <c r="C39" s="499"/>
      <c r="D39" s="469" t="s">
        <v>1089</v>
      </c>
      <c r="E39" s="499"/>
      <c r="F39" s="500"/>
      <c r="G39" s="500"/>
      <c r="H39" s="510">
        <v>1372</v>
      </c>
      <c r="I39" s="510">
        <v>0</v>
      </c>
      <c r="J39" s="510">
        <v>7321</v>
      </c>
      <c r="K39" s="447">
        <f t="shared" si="30"/>
        <v>8693</v>
      </c>
      <c r="L39" s="510">
        <v>1353</v>
      </c>
      <c r="M39" s="501">
        <v>0</v>
      </c>
      <c r="N39" s="510">
        <v>7334</v>
      </c>
      <c r="O39" s="447">
        <f t="shared" si="31"/>
        <v>8687</v>
      </c>
      <c r="P39" s="511">
        <v>1353</v>
      </c>
      <c r="Q39" s="511">
        <v>0</v>
      </c>
      <c r="R39" s="511">
        <v>7334</v>
      </c>
      <c r="S39" s="448">
        <f t="shared" si="32"/>
        <v>8687</v>
      </c>
      <c r="T39" s="507" t="str">
        <f t="shared" si="33"/>
        <v>3</v>
      </c>
      <c r="U39" s="169">
        <f t="shared" si="34"/>
        <v>6</v>
      </c>
      <c r="V39" s="164">
        <f t="shared" si="35"/>
        <v>6.9068723379762866E-4</v>
      </c>
      <c r="W39" s="7"/>
      <c r="X39" s="61"/>
      <c r="Y39" s="388"/>
      <c r="Z39" s="5">
        <f t="shared" si="36"/>
        <v>0</v>
      </c>
      <c r="AA39" s="5">
        <f t="shared" si="37"/>
        <v>0</v>
      </c>
      <c r="AB39" s="5">
        <f t="shared" si="38"/>
        <v>0</v>
      </c>
      <c r="AC39" s="156" t="str">
        <f t="shared" si="39"/>
        <v/>
      </c>
    </row>
    <row r="40" spans="1:29" customFormat="1" ht="12.75" customHeight="1" thickBot="1" x14ac:dyDescent="0.3">
      <c r="A40" s="345" t="s">
        <v>1090</v>
      </c>
      <c r="B40" s="498"/>
      <c r="C40" s="499"/>
      <c r="D40" s="469" t="s">
        <v>1091</v>
      </c>
      <c r="E40" s="499"/>
      <c r="F40" s="500"/>
      <c r="G40" s="500"/>
      <c r="H40" s="510">
        <v>118</v>
      </c>
      <c r="I40" s="510">
        <v>0</v>
      </c>
      <c r="J40" s="510">
        <v>3122</v>
      </c>
      <c r="K40" s="447">
        <f t="shared" si="30"/>
        <v>3240</v>
      </c>
      <c r="L40" s="510">
        <v>77</v>
      </c>
      <c r="M40" s="501">
        <v>0</v>
      </c>
      <c r="N40" s="510">
        <v>3071</v>
      </c>
      <c r="O40" s="447">
        <f t="shared" si="31"/>
        <v>3148</v>
      </c>
      <c r="P40" s="511">
        <v>77</v>
      </c>
      <c r="Q40" s="511">
        <v>0</v>
      </c>
      <c r="R40" s="511">
        <v>3071</v>
      </c>
      <c r="S40" s="448">
        <f t="shared" si="32"/>
        <v>3148</v>
      </c>
      <c r="T40" s="507" t="str">
        <f t="shared" si="33"/>
        <v>0</v>
      </c>
      <c r="U40" s="169">
        <f t="shared" si="34"/>
        <v>92</v>
      </c>
      <c r="V40" s="164">
        <f t="shared" si="35"/>
        <v>2.9224904701397714E-2</v>
      </c>
      <c r="W40" s="7"/>
      <c r="X40" s="61"/>
      <c r="Y40" s="388"/>
      <c r="Z40" s="5">
        <f t="shared" si="36"/>
        <v>0</v>
      </c>
      <c r="AA40" s="5">
        <f t="shared" si="37"/>
        <v>0</v>
      </c>
      <c r="AB40" s="5">
        <f t="shared" si="38"/>
        <v>0</v>
      </c>
      <c r="AC40" s="156" t="str">
        <f t="shared" si="39"/>
        <v/>
      </c>
    </row>
    <row r="41" spans="1:29" customFormat="1" ht="12.75" customHeight="1" thickBot="1" x14ac:dyDescent="0.3">
      <c r="A41" s="345" t="s">
        <v>1092</v>
      </c>
      <c r="B41" s="498"/>
      <c r="C41" s="499"/>
      <c r="D41" s="469" t="s">
        <v>1093</v>
      </c>
      <c r="E41" s="499"/>
      <c r="F41" s="17"/>
      <c r="G41" s="17"/>
      <c r="H41" s="510">
        <v>3</v>
      </c>
      <c r="I41" s="510">
        <v>0</v>
      </c>
      <c r="J41" s="510">
        <v>2</v>
      </c>
      <c r="K41" s="447">
        <f t="shared" si="30"/>
        <v>5</v>
      </c>
      <c r="L41" s="510">
        <v>0</v>
      </c>
      <c r="M41" s="501">
        <v>0</v>
      </c>
      <c r="N41" s="510">
        <v>9</v>
      </c>
      <c r="O41" s="447">
        <f t="shared" si="31"/>
        <v>9</v>
      </c>
      <c r="P41" s="511">
        <v>0</v>
      </c>
      <c r="Q41" s="511">
        <v>0</v>
      </c>
      <c r="R41" s="511">
        <v>9</v>
      </c>
      <c r="S41" s="448">
        <f t="shared" si="32"/>
        <v>9</v>
      </c>
      <c r="T41" s="507" t="str">
        <f t="shared" si="33"/>
        <v>5</v>
      </c>
      <c r="U41" s="169">
        <f t="shared" si="34"/>
        <v>-4</v>
      </c>
      <c r="V41" s="164">
        <f t="shared" si="35"/>
        <v>0.8</v>
      </c>
      <c r="W41" s="7"/>
      <c r="X41" s="61"/>
      <c r="Y41" s="388"/>
      <c r="Z41" s="5">
        <f t="shared" si="36"/>
        <v>0</v>
      </c>
      <c r="AA41" s="5">
        <f t="shared" si="37"/>
        <v>0</v>
      </c>
      <c r="AB41" s="5">
        <f t="shared" si="38"/>
        <v>0</v>
      </c>
      <c r="AC41" s="156" t="str">
        <f t="shared" si="39"/>
        <v/>
      </c>
    </row>
    <row r="42" spans="1:29" customFormat="1" ht="12.75" customHeight="1" thickBot="1" x14ac:dyDescent="0.3">
      <c r="A42" s="345" t="s">
        <v>1094</v>
      </c>
      <c r="B42" s="498"/>
      <c r="C42" s="499"/>
      <c r="D42" s="469" t="s">
        <v>1095</v>
      </c>
      <c r="E42" s="499"/>
      <c r="F42" s="500"/>
      <c r="G42" s="500"/>
      <c r="H42" s="510">
        <v>124</v>
      </c>
      <c r="I42" s="510">
        <v>0</v>
      </c>
      <c r="J42" s="510">
        <v>4088</v>
      </c>
      <c r="K42" s="447">
        <f t="shared" si="30"/>
        <v>4212</v>
      </c>
      <c r="L42" s="510">
        <v>80</v>
      </c>
      <c r="M42" s="501">
        <v>0</v>
      </c>
      <c r="N42" s="510">
        <v>3135</v>
      </c>
      <c r="O42" s="447">
        <f t="shared" si="31"/>
        <v>3215</v>
      </c>
      <c r="P42" s="511">
        <v>80</v>
      </c>
      <c r="Q42" s="511">
        <v>0</v>
      </c>
      <c r="R42" s="511">
        <v>426</v>
      </c>
      <c r="S42" s="448">
        <f t="shared" si="32"/>
        <v>506</v>
      </c>
      <c r="T42" s="507" t="str">
        <f t="shared" si="33"/>
        <v>2</v>
      </c>
      <c r="U42" s="169">
        <f t="shared" si="34"/>
        <v>997</v>
      </c>
      <c r="V42" s="164">
        <f t="shared" si="35"/>
        <v>0.31010886469673404</v>
      </c>
      <c r="W42" s="7"/>
      <c r="X42" s="61"/>
      <c r="Y42" s="388"/>
      <c r="Z42" s="5">
        <f t="shared" si="36"/>
        <v>0</v>
      </c>
      <c r="AA42" s="5">
        <f t="shared" si="37"/>
        <v>0</v>
      </c>
      <c r="AB42" s="5">
        <f t="shared" si="38"/>
        <v>0</v>
      </c>
      <c r="AC42" s="156" t="str">
        <f t="shared" si="39"/>
        <v/>
      </c>
    </row>
    <row r="43" spans="1:29" customFormat="1" ht="12.75" customHeight="1" thickBot="1" x14ac:dyDescent="0.3">
      <c r="A43" s="345" t="s">
        <v>1096</v>
      </c>
      <c r="B43" s="498"/>
      <c r="C43" s="499"/>
      <c r="D43" s="469" t="s">
        <v>1097</v>
      </c>
      <c r="E43" s="499"/>
      <c r="F43" s="500"/>
      <c r="G43" s="500"/>
      <c r="H43" s="510">
        <v>6</v>
      </c>
      <c r="I43" s="510">
        <v>0</v>
      </c>
      <c r="J43" s="510">
        <v>185</v>
      </c>
      <c r="K43" s="447">
        <f t="shared" si="30"/>
        <v>191</v>
      </c>
      <c r="L43" s="510">
        <v>6</v>
      </c>
      <c r="M43" s="501">
        <v>0</v>
      </c>
      <c r="N43" s="510">
        <v>136</v>
      </c>
      <c r="O43" s="447">
        <f t="shared" si="31"/>
        <v>142</v>
      </c>
      <c r="P43" s="511">
        <v>6</v>
      </c>
      <c r="Q43" s="511">
        <v>0</v>
      </c>
      <c r="R43" s="511">
        <v>136</v>
      </c>
      <c r="S43" s="448">
        <f t="shared" si="32"/>
        <v>142</v>
      </c>
      <c r="T43" s="507" t="str">
        <f t="shared" si="33"/>
        <v>1</v>
      </c>
      <c r="U43" s="169">
        <f t="shared" si="34"/>
        <v>49</v>
      </c>
      <c r="V43" s="164">
        <f t="shared" si="35"/>
        <v>0.34507042253521125</v>
      </c>
      <c r="W43" s="7"/>
      <c r="X43" s="61"/>
      <c r="Y43" s="388"/>
      <c r="Z43" s="5">
        <f t="shared" si="36"/>
        <v>0</v>
      </c>
      <c r="AA43" s="5">
        <f t="shared" si="37"/>
        <v>0</v>
      </c>
      <c r="AB43" s="5">
        <f t="shared" si="38"/>
        <v>0</v>
      </c>
      <c r="AC43" s="156" t="str">
        <f t="shared" si="39"/>
        <v/>
      </c>
    </row>
    <row r="44" spans="1:29" customFormat="1" ht="12.75" customHeight="1" x14ac:dyDescent="0.25">
      <c r="A44" s="345" t="s">
        <v>1098</v>
      </c>
      <c r="B44" s="503"/>
      <c r="C44" s="504" t="s">
        <v>1104</v>
      </c>
      <c r="D44" s="391"/>
      <c r="E44" s="391"/>
      <c r="F44" s="392"/>
      <c r="G44" s="392"/>
      <c r="H44" s="447">
        <f t="shared" ref="H44:S44" si="40">SUM(H37:H43)</f>
        <v>6075</v>
      </c>
      <c r="I44" s="447">
        <f t="shared" si="40"/>
        <v>9</v>
      </c>
      <c r="J44" s="447">
        <f t="shared" si="40"/>
        <v>17909</v>
      </c>
      <c r="K44" s="447">
        <f t="shared" si="40"/>
        <v>23993</v>
      </c>
      <c r="L44" s="447">
        <f t="shared" si="40"/>
        <v>5765</v>
      </c>
      <c r="M44" s="447">
        <f t="shared" si="40"/>
        <v>7</v>
      </c>
      <c r="N44" s="447">
        <f t="shared" si="40"/>
        <v>17193</v>
      </c>
      <c r="O44" s="447">
        <f t="shared" si="40"/>
        <v>22965</v>
      </c>
      <c r="P44" s="448">
        <f t="shared" si="40"/>
        <v>5765</v>
      </c>
      <c r="Q44" s="448">
        <f t="shared" si="40"/>
        <v>7</v>
      </c>
      <c r="R44" s="448">
        <f t="shared" si="40"/>
        <v>11775</v>
      </c>
      <c r="S44" s="448">
        <f t="shared" si="40"/>
        <v>17547</v>
      </c>
      <c r="T44" s="7"/>
      <c r="U44" s="32">
        <f t="shared" si="34"/>
        <v>1028</v>
      </c>
      <c r="V44" s="7">
        <f t="shared" si="35"/>
        <v>4.4763770955802307E-2</v>
      </c>
      <c r="W44" s="7"/>
      <c r="X44" s="90"/>
      <c r="Y44" s="388"/>
    </row>
    <row r="45" spans="1:29" customFormat="1" ht="12.75" customHeight="1" x14ac:dyDescent="0.25">
      <c r="A45" s="345"/>
      <c r="B45" s="422"/>
      <c r="C45" s="508"/>
      <c r="D45" s="333"/>
      <c r="E45" s="333"/>
      <c r="F45" s="334"/>
      <c r="G45" s="334"/>
      <c r="H45" s="65"/>
      <c r="I45" s="65"/>
      <c r="J45" s="65"/>
      <c r="K45" s="65"/>
      <c r="L45" s="65"/>
      <c r="M45" s="65"/>
      <c r="N45" s="65"/>
      <c r="O45" s="65"/>
      <c r="P45" s="65"/>
      <c r="Q45" s="65"/>
      <c r="R45" s="65"/>
      <c r="S45" s="65"/>
      <c r="T45" s="7"/>
    </row>
    <row r="46" spans="1:29" customFormat="1" ht="12.75" customHeight="1" x14ac:dyDescent="0.25">
      <c r="A46" s="345" t="s">
        <v>731</v>
      </c>
      <c r="B46" s="390"/>
      <c r="C46" s="504" t="s">
        <v>1105</v>
      </c>
      <c r="D46" s="391"/>
      <c r="E46" s="391"/>
      <c r="F46" s="392"/>
      <c r="G46" s="392"/>
      <c r="H46" s="447">
        <f t="shared" ref="H46:S46" si="41">SUM(H34+H44)</f>
        <v>72065</v>
      </c>
      <c r="I46" s="447">
        <f t="shared" si="41"/>
        <v>1356</v>
      </c>
      <c r="J46" s="447">
        <f t="shared" si="41"/>
        <v>50277</v>
      </c>
      <c r="K46" s="447">
        <f t="shared" si="41"/>
        <v>123698</v>
      </c>
      <c r="L46" s="447">
        <f t="shared" si="41"/>
        <v>73086</v>
      </c>
      <c r="M46" s="447">
        <f t="shared" si="41"/>
        <v>1460</v>
      </c>
      <c r="N46" s="447">
        <f t="shared" si="41"/>
        <v>49956</v>
      </c>
      <c r="O46" s="447">
        <f t="shared" si="41"/>
        <v>124502</v>
      </c>
      <c r="P46" s="448">
        <f t="shared" si="41"/>
        <v>73086</v>
      </c>
      <c r="Q46" s="448">
        <f t="shared" si="41"/>
        <v>1460</v>
      </c>
      <c r="R46" s="448">
        <f t="shared" si="41"/>
        <v>49956</v>
      </c>
      <c r="S46" s="448">
        <f t="shared" si="41"/>
        <v>124502</v>
      </c>
      <c r="T46" s="7"/>
      <c r="U46" s="32">
        <f>K46-O46</f>
        <v>-804</v>
      </c>
      <c r="V46" s="7">
        <f>IF(AND(OR(K46=0,O46&lt;&gt;0),OR(O46=0,K46&lt;&gt;0)),IF((K46+O46+U46&lt;&gt;0),IF(AND(OR(K46&gt;0,O46&lt;0),OR(O46&gt;0,K46&lt;0)),ABS(U46/MIN(ABS(O46),ABS(K46))),10),"-"),10)</f>
        <v>6.4997008844120355E-3</v>
      </c>
      <c r="W46" s="7"/>
      <c r="X46" s="388"/>
      <c r="Y46" s="388"/>
    </row>
    <row r="47" spans="1:29" customFormat="1" ht="12.75" customHeight="1" x14ac:dyDescent="0.25">
      <c r="A47" s="345"/>
      <c r="B47" s="422"/>
      <c r="C47" s="508"/>
      <c r="D47" s="333"/>
      <c r="E47" s="333"/>
      <c r="F47" s="334"/>
      <c r="G47" s="334"/>
      <c r="H47" s="65"/>
      <c r="I47" s="65"/>
      <c r="J47" s="65"/>
      <c r="K47" s="65"/>
      <c r="L47" s="65"/>
      <c r="M47" s="65"/>
      <c r="N47" s="65"/>
      <c r="O47" s="65"/>
      <c r="P47" s="65"/>
      <c r="Q47" s="65"/>
      <c r="R47" s="65"/>
      <c r="S47" s="65"/>
      <c r="T47" s="7"/>
    </row>
    <row r="48" spans="1:29" customFormat="1" ht="12.75" customHeight="1" thickBot="1" x14ac:dyDescent="0.3">
      <c r="A48" s="345" t="s">
        <v>733</v>
      </c>
      <c r="B48" s="493"/>
      <c r="C48" s="466" t="s">
        <v>1106</v>
      </c>
      <c r="D48" s="512"/>
      <c r="E48" s="512"/>
      <c r="F48" s="496"/>
      <c r="G48" s="496"/>
      <c r="H48" s="509"/>
      <c r="I48" s="509"/>
      <c r="J48" s="509"/>
      <c r="K48" s="509"/>
      <c r="L48" s="509"/>
      <c r="M48" s="509"/>
      <c r="N48" s="509"/>
      <c r="O48" s="509"/>
      <c r="P48" s="509"/>
      <c r="Q48" s="509"/>
      <c r="R48" s="509"/>
      <c r="S48" s="509"/>
      <c r="T48" s="7"/>
    </row>
    <row r="49" spans="1:29" customFormat="1" ht="12.75" customHeight="1" thickBot="1" x14ac:dyDescent="0.3">
      <c r="A49" s="345" t="s">
        <v>1084</v>
      </c>
      <c r="B49" s="498"/>
      <c r="C49" s="499"/>
      <c r="D49" s="469" t="s">
        <v>1085</v>
      </c>
      <c r="E49" s="499"/>
      <c r="F49" s="500"/>
      <c r="G49" s="500"/>
      <c r="H49" s="513" t="s">
        <v>1107</v>
      </c>
      <c r="I49" s="513" t="s">
        <v>1107</v>
      </c>
      <c r="J49" s="513" t="s">
        <v>1107</v>
      </c>
      <c r="K49" s="510">
        <v>112881</v>
      </c>
      <c r="L49" s="513" t="s">
        <v>1107</v>
      </c>
      <c r="M49" s="513" t="s">
        <v>1107</v>
      </c>
      <c r="N49" s="513" t="s">
        <v>1107</v>
      </c>
      <c r="O49" s="501">
        <v>96056</v>
      </c>
      <c r="P49" s="513" t="s">
        <v>1107</v>
      </c>
      <c r="Q49" s="513" t="s">
        <v>1107</v>
      </c>
      <c r="R49" s="513" t="s">
        <v>1107</v>
      </c>
      <c r="S49" s="510">
        <v>96056</v>
      </c>
      <c r="T49" s="507" t="str">
        <f t="shared" ref="T49:T55" si="42">IF(K49=0,"zero",RIGHT(K49,1))</f>
        <v>1</v>
      </c>
      <c r="U49" s="169">
        <f t="shared" ref="U49:U56" si="43">K49-O49</f>
        <v>16825</v>
      </c>
      <c r="V49" s="164">
        <f t="shared" ref="V49:V56" si="44">IF(AND(OR(K49=0,O49&lt;&gt;0),OR(O49=0,K49&lt;&gt;0)),IF((K49+O49+U49&lt;&gt;0),IF(AND(OR(K49&gt;0,O49&lt;0),OR(O49&gt;0,K49&lt;0)),ABS(U49/MIN(ABS(O49),ABS(K49))),10),"-"),10)</f>
        <v>0.17515824102606814</v>
      </c>
      <c r="W49" s="7"/>
      <c r="X49" s="61"/>
      <c r="Y49" s="388"/>
      <c r="Z49" s="5">
        <f t="shared" ref="Z49:Z55" si="45">IF(AND(U49&gt;750,V49&gt;2),1,0)</f>
        <v>0</v>
      </c>
      <c r="AA49" s="5">
        <f t="shared" ref="AA49:AA55" si="46">IF(AND(U49&lt;-750,V49&gt;2),1,0)</f>
        <v>0</v>
      </c>
      <c r="AB49" s="5">
        <f t="shared" ref="AB49:AB55" si="47">SUM(Z49:AA49)</f>
        <v>0</v>
      </c>
      <c r="AC49" s="156" t="str">
        <f t="shared" ref="AC49:AC55" si="48">IF(AB49&lt;&gt;0,$A$48&amp;A49&amp;" ("&amp;K49&amp;", "&amp;O49&amp;")"&amp;", ","")</f>
        <v/>
      </c>
    </row>
    <row r="50" spans="1:29" customFormat="1" ht="12.75" customHeight="1" thickBot="1" x14ac:dyDescent="0.3">
      <c r="A50" s="345" t="s">
        <v>1086</v>
      </c>
      <c r="B50" s="498"/>
      <c r="C50" s="499"/>
      <c r="D50" s="469" t="s">
        <v>1087</v>
      </c>
      <c r="E50" s="499"/>
      <c r="F50" s="500"/>
      <c r="G50" s="500"/>
      <c r="H50" s="513" t="s">
        <v>1107</v>
      </c>
      <c r="I50" s="513" t="s">
        <v>1107</v>
      </c>
      <c r="J50" s="513" t="s">
        <v>1107</v>
      </c>
      <c r="K50" s="510">
        <v>0</v>
      </c>
      <c r="L50" s="513" t="s">
        <v>1107</v>
      </c>
      <c r="M50" s="513" t="s">
        <v>1107</v>
      </c>
      <c r="N50" s="513" t="s">
        <v>1107</v>
      </c>
      <c r="O50" s="501">
        <v>0</v>
      </c>
      <c r="P50" s="513" t="s">
        <v>1107</v>
      </c>
      <c r="Q50" s="513" t="s">
        <v>1107</v>
      </c>
      <c r="R50" s="513" t="s">
        <v>1107</v>
      </c>
      <c r="S50" s="510">
        <v>0</v>
      </c>
      <c r="T50" s="507" t="str">
        <f t="shared" si="42"/>
        <v>zero</v>
      </c>
      <c r="U50" s="169">
        <f t="shared" si="43"/>
        <v>0</v>
      </c>
      <c r="V50" s="164" t="str">
        <f t="shared" si="44"/>
        <v>-</v>
      </c>
      <c r="W50" s="7"/>
      <c r="X50" s="61"/>
      <c r="Y50" s="388"/>
      <c r="Z50" s="5">
        <f t="shared" si="45"/>
        <v>0</v>
      </c>
      <c r="AA50" s="5">
        <f t="shared" si="46"/>
        <v>0</v>
      </c>
      <c r="AB50" s="5">
        <f t="shared" si="47"/>
        <v>0</v>
      </c>
      <c r="AC50" s="156" t="str">
        <f t="shared" si="48"/>
        <v/>
      </c>
    </row>
    <row r="51" spans="1:29" customFormat="1" ht="12.75" customHeight="1" thickBot="1" x14ac:dyDescent="0.3">
      <c r="A51" s="345" t="s">
        <v>1088</v>
      </c>
      <c r="B51" s="498"/>
      <c r="C51" s="499"/>
      <c r="D51" s="469" t="s">
        <v>1089</v>
      </c>
      <c r="E51" s="499"/>
      <c r="F51" s="500"/>
      <c r="G51" s="500"/>
      <c r="H51" s="513" t="s">
        <v>1107</v>
      </c>
      <c r="I51" s="513" t="s">
        <v>1107</v>
      </c>
      <c r="J51" s="513" t="s">
        <v>1107</v>
      </c>
      <c r="K51" s="510">
        <v>101061</v>
      </c>
      <c r="L51" s="513" t="s">
        <v>1107</v>
      </c>
      <c r="M51" s="513" t="s">
        <v>1107</v>
      </c>
      <c r="N51" s="513" t="s">
        <v>1107</v>
      </c>
      <c r="O51" s="501">
        <v>75259</v>
      </c>
      <c r="P51" s="513" t="s">
        <v>1107</v>
      </c>
      <c r="Q51" s="513" t="s">
        <v>1107</v>
      </c>
      <c r="R51" s="513" t="s">
        <v>1107</v>
      </c>
      <c r="S51" s="510">
        <v>75259</v>
      </c>
      <c r="T51" s="507" t="str">
        <f t="shared" si="42"/>
        <v>1</v>
      </c>
      <c r="U51" s="169">
        <f t="shared" si="43"/>
        <v>25802</v>
      </c>
      <c r="V51" s="164">
        <f t="shared" si="44"/>
        <v>0.34284271648573594</v>
      </c>
      <c r="W51" s="7"/>
      <c r="X51" s="61"/>
      <c r="Y51" s="388"/>
      <c r="Z51" s="5">
        <f t="shared" si="45"/>
        <v>0</v>
      </c>
      <c r="AA51" s="5">
        <f t="shared" si="46"/>
        <v>0</v>
      </c>
      <c r="AB51" s="5">
        <f t="shared" si="47"/>
        <v>0</v>
      </c>
      <c r="AC51" s="156" t="str">
        <f t="shared" si="48"/>
        <v/>
      </c>
    </row>
    <row r="52" spans="1:29" customFormat="1" ht="12.75" customHeight="1" thickBot="1" x14ac:dyDescent="0.3">
      <c r="A52" s="345" t="s">
        <v>1090</v>
      </c>
      <c r="B52" s="498"/>
      <c r="C52" s="499"/>
      <c r="D52" s="469" t="s">
        <v>1091</v>
      </c>
      <c r="E52" s="499"/>
      <c r="F52" s="17"/>
      <c r="G52" s="17"/>
      <c r="H52" s="513" t="s">
        <v>1107</v>
      </c>
      <c r="I52" s="513" t="s">
        <v>1107</v>
      </c>
      <c r="J52" s="513" t="s">
        <v>1107</v>
      </c>
      <c r="K52" s="510">
        <v>22903</v>
      </c>
      <c r="L52" s="513" t="s">
        <v>1107</v>
      </c>
      <c r="M52" s="513" t="s">
        <v>1107</v>
      </c>
      <c r="N52" s="513" t="s">
        <v>1107</v>
      </c>
      <c r="O52" s="501">
        <v>19310</v>
      </c>
      <c r="P52" s="513" t="s">
        <v>1107</v>
      </c>
      <c r="Q52" s="513" t="s">
        <v>1107</v>
      </c>
      <c r="R52" s="513" t="s">
        <v>1107</v>
      </c>
      <c r="S52" s="510">
        <v>19310</v>
      </c>
      <c r="T52" s="507" t="str">
        <f t="shared" si="42"/>
        <v>3</v>
      </c>
      <c r="U52" s="169">
        <f t="shared" si="43"/>
        <v>3593</v>
      </c>
      <c r="V52" s="164">
        <f t="shared" si="44"/>
        <v>0.18606939409632314</v>
      </c>
      <c r="W52" s="7"/>
      <c r="X52" s="61"/>
      <c r="Y52" s="388"/>
      <c r="Z52" s="5">
        <f t="shared" si="45"/>
        <v>0</v>
      </c>
      <c r="AA52" s="5">
        <f t="shared" si="46"/>
        <v>0</v>
      </c>
      <c r="AB52" s="5">
        <f t="shared" si="47"/>
        <v>0</v>
      </c>
      <c r="AC52" s="156" t="str">
        <f t="shared" si="48"/>
        <v/>
      </c>
    </row>
    <row r="53" spans="1:29" customFormat="1" ht="12.75" customHeight="1" thickBot="1" x14ac:dyDescent="0.3">
      <c r="A53" s="345" t="s">
        <v>1092</v>
      </c>
      <c r="B53" s="498"/>
      <c r="C53" s="499"/>
      <c r="D53" s="469" t="s">
        <v>1093</v>
      </c>
      <c r="E53" s="499"/>
      <c r="F53" s="17"/>
      <c r="G53" s="17"/>
      <c r="H53" s="513" t="s">
        <v>1107</v>
      </c>
      <c r="I53" s="513" t="s">
        <v>1107</v>
      </c>
      <c r="J53" s="513" t="s">
        <v>1107</v>
      </c>
      <c r="K53" s="510">
        <v>7156</v>
      </c>
      <c r="L53" s="513" t="s">
        <v>1107</v>
      </c>
      <c r="M53" s="513" t="s">
        <v>1107</v>
      </c>
      <c r="N53" s="513" t="s">
        <v>1107</v>
      </c>
      <c r="O53" s="501">
        <v>7104</v>
      </c>
      <c r="P53" s="513" t="s">
        <v>1107</v>
      </c>
      <c r="Q53" s="513" t="s">
        <v>1107</v>
      </c>
      <c r="R53" s="513" t="s">
        <v>1107</v>
      </c>
      <c r="S53" s="510">
        <v>7104</v>
      </c>
      <c r="T53" s="507" t="str">
        <f t="shared" si="42"/>
        <v>6</v>
      </c>
      <c r="U53" s="169">
        <f t="shared" si="43"/>
        <v>52</v>
      </c>
      <c r="V53" s="164">
        <f t="shared" si="44"/>
        <v>7.3198198198198196E-3</v>
      </c>
      <c r="W53" s="7"/>
      <c r="X53" s="61"/>
      <c r="Y53" s="388"/>
      <c r="Z53" s="5">
        <f t="shared" si="45"/>
        <v>0</v>
      </c>
      <c r="AA53" s="5">
        <f t="shared" si="46"/>
        <v>0</v>
      </c>
      <c r="AB53" s="5">
        <f t="shared" si="47"/>
        <v>0</v>
      </c>
      <c r="AC53" s="156" t="str">
        <f t="shared" si="48"/>
        <v/>
      </c>
    </row>
    <row r="54" spans="1:29" customFormat="1" ht="12.75" customHeight="1" thickBot="1" x14ac:dyDescent="0.3">
      <c r="A54" s="345" t="s">
        <v>1094</v>
      </c>
      <c r="B54" s="498"/>
      <c r="C54" s="499"/>
      <c r="D54" s="469" t="s">
        <v>1095</v>
      </c>
      <c r="E54" s="499"/>
      <c r="F54" s="500"/>
      <c r="G54" s="500"/>
      <c r="H54" s="513" t="s">
        <v>1107</v>
      </c>
      <c r="I54" s="513" t="s">
        <v>1107</v>
      </c>
      <c r="J54" s="513" t="s">
        <v>1107</v>
      </c>
      <c r="K54" s="510">
        <v>538</v>
      </c>
      <c r="L54" s="513" t="s">
        <v>1107</v>
      </c>
      <c r="M54" s="513" t="s">
        <v>1107</v>
      </c>
      <c r="N54" s="513" t="s">
        <v>1107</v>
      </c>
      <c r="O54" s="501">
        <v>501</v>
      </c>
      <c r="P54" s="513" t="s">
        <v>1107</v>
      </c>
      <c r="Q54" s="513" t="s">
        <v>1107</v>
      </c>
      <c r="R54" s="513" t="s">
        <v>1107</v>
      </c>
      <c r="S54" s="510">
        <v>501</v>
      </c>
      <c r="T54" s="507" t="str">
        <f t="shared" si="42"/>
        <v>8</v>
      </c>
      <c r="U54" s="169">
        <f t="shared" si="43"/>
        <v>37</v>
      </c>
      <c r="V54" s="164">
        <f t="shared" si="44"/>
        <v>7.3852295409181631E-2</v>
      </c>
      <c r="W54" s="7"/>
      <c r="X54" s="61"/>
      <c r="Y54" s="388"/>
      <c r="Z54" s="5">
        <f t="shared" si="45"/>
        <v>0</v>
      </c>
      <c r="AA54" s="5">
        <f t="shared" si="46"/>
        <v>0</v>
      </c>
      <c r="AB54" s="5">
        <f t="shared" si="47"/>
        <v>0</v>
      </c>
      <c r="AC54" s="156" t="str">
        <f t="shared" si="48"/>
        <v/>
      </c>
    </row>
    <row r="55" spans="1:29" customFormat="1" ht="12.75" customHeight="1" thickBot="1" x14ac:dyDescent="0.3">
      <c r="A55" s="345" t="s">
        <v>1096</v>
      </c>
      <c r="B55" s="498"/>
      <c r="C55" s="499"/>
      <c r="D55" s="469" t="s">
        <v>1097</v>
      </c>
      <c r="E55" s="499"/>
      <c r="F55" s="500"/>
      <c r="G55" s="500"/>
      <c r="H55" s="513" t="s">
        <v>1107</v>
      </c>
      <c r="I55" s="513" t="s">
        <v>1107</v>
      </c>
      <c r="J55" s="513" t="s">
        <v>1107</v>
      </c>
      <c r="K55" s="510">
        <v>245</v>
      </c>
      <c r="L55" s="513" t="s">
        <v>1107</v>
      </c>
      <c r="M55" s="513" t="s">
        <v>1107</v>
      </c>
      <c r="N55" s="513" t="s">
        <v>1107</v>
      </c>
      <c r="O55" s="501">
        <v>270</v>
      </c>
      <c r="P55" s="513" t="s">
        <v>1107</v>
      </c>
      <c r="Q55" s="513" t="s">
        <v>1107</v>
      </c>
      <c r="R55" s="513" t="s">
        <v>1107</v>
      </c>
      <c r="S55" s="510">
        <v>270</v>
      </c>
      <c r="T55" s="507" t="str">
        <f t="shared" si="42"/>
        <v>5</v>
      </c>
      <c r="U55" s="169">
        <f t="shared" si="43"/>
        <v>-25</v>
      </c>
      <c r="V55" s="164">
        <f t="shared" si="44"/>
        <v>0.10204081632653061</v>
      </c>
      <c r="W55" s="7"/>
      <c r="X55" s="61"/>
      <c r="Y55" s="388"/>
      <c r="Z55" s="5">
        <f t="shared" si="45"/>
        <v>0</v>
      </c>
      <c r="AA55" s="5">
        <f t="shared" si="46"/>
        <v>0</v>
      </c>
      <c r="AB55" s="5">
        <f t="shared" si="47"/>
        <v>0</v>
      </c>
      <c r="AC55" s="156" t="str">
        <f t="shared" si="48"/>
        <v/>
      </c>
    </row>
    <row r="56" spans="1:29" customFormat="1" ht="12.75" customHeight="1" x14ac:dyDescent="0.25">
      <c r="A56" s="345" t="s">
        <v>1098</v>
      </c>
      <c r="B56" s="503"/>
      <c r="C56" s="504" t="s">
        <v>1108</v>
      </c>
      <c r="D56" s="514"/>
      <c r="E56" s="514"/>
      <c r="F56" s="515"/>
      <c r="G56" s="515"/>
      <c r="H56" s="442" t="s">
        <v>1107</v>
      </c>
      <c r="I56" s="442" t="s">
        <v>1107</v>
      </c>
      <c r="J56" s="442" t="s">
        <v>1107</v>
      </c>
      <c r="K56" s="447">
        <f>SUM(K49:K55)</f>
        <v>244784</v>
      </c>
      <c r="L56" s="442" t="s">
        <v>1107</v>
      </c>
      <c r="M56" s="442" t="s">
        <v>1107</v>
      </c>
      <c r="N56" s="442" t="s">
        <v>1107</v>
      </c>
      <c r="O56" s="447">
        <f>SUM(O49:O55)</f>
        <v>198500</v>
      </c>
      <c r="P56" s="442" t="s">
        <v>1107</v>
      </c>
      <c r="Q56" s="442" t="s">
        <v>1107</v>
      </c>
      <c r="R56" s="442" t="s">
        <v>1107</v>
      </c>
      <c r="S56" s="448">
        <f>SUM(S49:S55)</f>
        <v>198500</v>
      </c>
      <c r="T56" s="7"/>
      <c r="U56" s="32">
        <f t="shared" si="43"/>
        <v>46284</v>
      </c>
      <c r="V56" s="7">
        <f t="shared" si="44"/>
        <v>0.23316876574307305</v>
      </c>
      <c r="W56" s="7"/>
      <c r="X56" s="90"/>
      <c r="Y56" s="388"/>
    </row>
    <row r="57" spans="1:29" customFormat="1" ht="12.75" customHeight="1" x14ac:dyDescent="0.25">
      <c r="A57" s="345"/>
      <c r="B57" s="13"/>
      <c r="C57" s="499"/>
      <c r="D57" s="499"/>
      <c r="E57" s="499"/>
      <c r="F57" s="63"/>
      <c r="G57" s="63"/>
      <c r="H57" s="66"/>
      <c r="I57" s="66"/>
      <c r="J57" s="66"/>
      <c r="K57" s="516"/>
      <c r="L57" s="66"/>
      <c r="M57" s="66"/>
      <c r="N57" s="66"/>
      <c r="O57" s="516"/>
      <c r="P57" s="66"/>
      <c r="Q57" s="66"/>
      <c r="R57" s="66"/>
      <c r="S57" s="516"/>
      <c r="T57" s="7"/>
    </row>
    <row r="58" spans="1:29" customFormat="1" ht="12.75" customHeight="1" x14ac:dyDescent="0.25">
      <c r="A58" s="345" t="s">
        <v>735</v>
      </c>
      <c r="B58" s="503"/>
      <c r="C58" s="504" t="s">
        <v>1109</v>
      </c>
      <c r="D58" s="390"/>
      <c r="E58" s="390"/>
      <c r="F58" s="418"/>
      <c r="G58" s="418"/>
      <c r="H58" s="517" t="s">
        <v>1107</v>
      </c>
      <c r="I58" s="517" t="s">
        <v>1107</v>
      </c>
      <c r="J58" s="517" t="s">
        <v>1107</v>
      </c>
      <c r="K58" s="349">
        <f>SUM(K46+K56)</f>
        <v>368482</v>
      </c>
      <c r="L58" s="517" t="s">
        <v>1107</v>
      </c>
      <c r="M58" s="517" t="s">
        <v>1107</v>
      </c>
      <c r="N58" s="517" t="s">
        <v>1107</v>
      </c>
      <c r="O58" s="349">
        <f>SUM(O46+O56)</f>
        <v>323002</v>
      </c>
      <c r="P58" s="517" t="s">
        <v>1107</v>
      </c>
      <c r="Q58" s="517" t="s">
        <v>1107</v>
      </c>
      <c r="R58" s="517" t="s">
        <v>1107</v>
      </c>
      <c r="S58" s="442">
        <f>SUM(S46+S56)</f>
        <v>323002</v>
      </c>
      <c r="T58" s="7"/>
    </row>
    <row r="59" spans="1:29" customFormat="1" ht="12.75" customHeight="1" thickBot="1" x14ac:dyDescent="0.3">
      <c r="A59" s="345"/>
      <c r="B59" s="422"/>
      <c r="C59" s="508"/>
      <c r="D59" s="220"/>
      <c r="E59" s="220"/>
      <c r="F59" s="220"/>
      <c r="G59" s="220"/>
      <c r="H59" s="67"/>
      <c r="I59" s="67"/>
      <c r="J59" s="67"/>
      <c r="K59" s="516"/>
      <c r="L59" s="67"/>
      <c r="M59" s="67"/>
      <c r="N59" s="67"/>
      <c r="O59" s="516"/>
      <c r="P59" s="67"/>
      <c r="Q59" s="67"/>
      <c r="R59" s="67"/>
      <c r="S59" s="516"/>
      <c r="T59" s="7"/>
    </row>
    <row r="60" spans="1:29" customFormat="1" ht="12.75" customHeight="1" thickBot="1" x14ac:dyDescent="0.3">
      <c r="A60" s="345">
        <v>2</v>
      </c>
      <c r="B60" s="468" t="s">
        <v>1110</v>
      </c>
      <c r="C60" s="469"/>
      <c r="D60" s="469"/>
      <c r="E60" s="469"/>
      <c r="F60" s="473"/>
      <c r="G60" s="473"/>
      <c r="H60" s="518" t="s">
        <v>1107</v>
      </c>
      <c r="I60" s="518" t="s">
        <v>1107</v>
      </c>
      <c r="J60" s="518" t="s">
        <v>1107</v>
      </c>
      <c r="K60" s="510">
        <v>5922</v>
      </c>
      <c r="L60" s="518" t="s">
        <v>1107</v>
      </c>
      <c r="M60" s="518" t="s">
        <v>1107</v>
      </c>
      <c r="N60" s="518" t="s">
        <v>1107</v>
      </c>
      <c r="O60" s="510">
        <v>6300</v>
      </c>
      <c r="P60" s="518" t="s">
        <v>1107</v>
      </c>
      <c r="Q60" s="518" t="s">
        <v>1107</v>
      </c>
      <c r="R60" s="518" t="s">
        <v>1107</v>
      </c>
      <c r="S60" s="510">
        <v>6300</v>
      </c>
      <c r="T60" s="507" t="str">
        <f>IF(K60=0,"zero",RIGHT(K60,1))</f>
        <v>2</v>
      </c>
      <c r="U60" s="169">
        <f>K60-O60</f>
        <v>-378</v>
      </c>
      <c r="V60" s="164">
        <f>IF(AND(OR(K60=0,O60&lt;&gt;0),OR(O60=0,K60&lt;&gt;0)),IF((K60+O60+U60&lt;&gt;0),IF(AND(OR(K60&gt;0,O60&lt;0),OR(O60&gt;0,K60&lt;0)),ABS(U60/MIN(ABS(O60),ABS(K60))),10),"-"),10)</f>
        <v>6.3829787234042548E-2</v>
      </c>
      <c r="W60" s="7"/>
      <c r="X60" s="61"/>
      <c r="Y60" s="388"/>
      <c r="Z60" s="5">
        <f>IF(AND(U60&gt;750,V60&gt;2),1,0)</f>
        <v>0</v>
      </c>
      <c r="AA60" s="5">
        <f>IF(AND(U60&lt;-750,V60&gt;2),1,0)</f>
        <v>0</v>
      </c>
      <c r="AB60" s="5">
        <f>SUM(Z60:AA60)</f>
        <v>0</v>
      </c>
      <c r="AC60" s="156" t="str">
        <f>IF(AB60&lt;&gt;0,A60&amp;" ("&amp;K60&amp;", "&amp;O60&amp;")"&amp;", ","")</f>
        <v/>
      </c>
    </row>
    <row r="61" spans="1:29" customFormat="1" ht="12.75" customHeight="1" thickBot="1" x14ac:dyDescent="0.3">
      <c r="A61" s="345">
        <v>3</v>
      </c>
      <c r="B61" s="468" t="s">
        <v>1111</v>
      </c>
      <c r="C61" s="469"/>
      <c r="D61" s="469"/>
      <c r="E61" s="469"/>
      <c r="F61" s="473"/>
      <c r="G61" s="473"/>
      <c r="H61" s="518" t="s">
        <v>1107</v>
      </c>
      <c r="I61" s="518" t="s">
        <v>1107</v>
      </c>
      <c r="J61" s="518" t="s">
        <v>1107</v>
      </c>
      <c r="K61" s="510">
        <v>0</v>
      </c>
      <c r="L61" s="518" t="s">
        <v>1107</v>
      </c>
      <c r="M61" s="518" t="s">
        <v>1107</v>
      </c>
      <c r="N61" s="518" t="s">
        <v>1107</v>
      </c>
      <c r="O61" s="510">
        <v>0</v>
      </c>
      <c r="P61" s="518" t="s">
        <v>1107</v>
      </c>
      <c r="Q61" s="518" t="s">
        <v>1107</v>
      </c>
      <c r="R61" s="518" t="s">
        <v>1107</v>
      </c>
      <c r="S61" s="510">
        <v>0</v>
      </c>
      <c r="T61" s="507" t="str">
        <f>IF(K61=0,"zero",RIGHT(K61,1))</f>
        <v>zero</v>
      </c>
      <c r="U61" s="169">
        <f>K61-O61</f>
        <v>0</v>
      </c>
      <c r="V61" s="164" t="str">
        <f>IF(AND(OR(K61=0,O61&lt;&gt;0),OR(O61=0,K61&lt;&gt;0)),IF((K61+O61+U61&lt;&gt;0),IF(AND(OR(K61&gt;0,O61&lt;0),OR(O61&gt;0,K61&lt;0)),ABS(U61/MIN(ABS(O61),ABS(K61))),10),"-"),10)</f>
        <v>-</v>
      </c>
      <c r="W61" s="7"/>
      <c r="X61" s="61"/>
      <c r="Y61" s="388"/>
      <c r="Z61" s="5">
        <f>IF(AND(U61&gt;750,V61&gt;2),1,0)</f>
        <v>0</v>
      </c>
      <c r="AA61" s="5">
        <f>IF(AND(U61&lt;-750,V61&gt;2),1,0)</f>
        <v>0</v>
      </c>
      <c r="AB61" s="5">
        <f>SUM(Z61:AA61)</f>
        <v>0</v>
      </c>
      <c r="AC61" s="156" t="str">
        <f>IF(AB61&lt;&gt;0,A61&amp;" ("&amp;K61&amp;", "&amp;O61&amp;")"&amp;", ","")</f>
        <v/>
      </c>
    </row>
    <row r="62" spans="1:29" customFormat="1" ht="12.75" customHeight="1" thickBot="1" x14ac:dyDescent="0.3">
      <c r="A62" s="345">
        <v>4</v>
      </c>
      <c r="B62" s="465" t="s">
        <v>1112</v>
      </c>
      <c r="C62" s="466"/>
      <c r="D62" s="466"/>
      <c r="E62" s="466"/>
      <c r="F62" s="467"/>
      <c r="G62" s="467"/>
      <c r="H62" s="519"/>
      <c r="I62" s="519"/>
      <c r="J62" s="519"/>
      <c r="K62" s="519"/>
      <c r="L62" s="519"/>
      <c r="M62" s="519"/>
      <c r="N62" s="519"/>
      <c r="O62" s="519"/>
      <c r="P62" s="519"/>
      <c r="Q62" s="519"/>
      <c r="R62" s="519"/>
      <c r="S62" s="519"/>
      <c r="T62" s="7"/>
    </row>
    <row r="63" spans="1:29" customFormat="1" ht="12.75" customHeight="1" thickBot="1" x14ac:dyDescent="0.3">
      <c r="A63" s="345" t="s">
        <v>878</v>
      </c>
      <c r="B63" s="475"/>
      <c r="C63" s="469" t="s">
        <v>1113</v>
      </c>
      <c r="D63" s="499"/>
      <c r="E63" s="499"/>
      <c r="F63" s="500"/>
      <c r="G63" s="500"/>
      <c r="H63" s="518" t="s">
        <v>1107</v>
      </c>
      <c r="I63" s="518" t="s">
        <v>1107</v>
      </c>
      <c r="J63" s="518" t="s">
        <v>1107</v>
      </c>
      <c r="K63" s="510">
        <v>0</v>
      </c>
      <c r="L63" s="518" t="s">
        <v>1107</v>
      </c>
      <c r="M63" s="518" t="s">
        <v>1107</v>
      </c>
      <c r="N63" s="518" t="s">
        <v>1107</v>
      </c>
      <c r="O63" s="510">
        <v>0</v>
      </c>
      <c r="P63" s="518" t="s">
        <v>1107</v>
      </c>
      <c r="Q63" s="518" t="s">
        <v>1107</v>
      </c>
      <c r="R63" s="518" t="s">
        <v>1107</v>
      </c>
      <c r="S63" s="510">
        <v>0</v>
      </c>
      <c r="T63" s="507" t="str">
        <f>IF(K63=0,"zero",RIGHT(K63,1))</f>
        <v>zero</v>
      </c>
      <c r="U63" s="169">
        <f>K63-O63</f>
        <v>0</v>
      </c>
      <c r="V63" s="164" t="str">
        <f>IF(AND(OR(K63=0,O63&lt;&gt;0),OR(O63=0,K63&lt;&gt;0)),IF((K63+O63+U63&lt;&gt;0),IF(AND(OR(K63&gt;0,O63&lt;0),OR(O63&gt;0,K63&lt;0)),ABS(U63/MIN(ABS(O63),ABS(K63))),10),"-"),10)</f>
        <v>-</v>
      </c>
      <c r="W63" s="7"/>
      <c r="X63" s="61"/>
      <c r="Y63" s="388"/>
      <c r="Z63" s="5">
        <f>IF(AND(U63&gt;750,V63&gt;2),1,0)</f>
        <v>0</v>
      </c>
      <c r="AA63" s="5">
        <f>IF(AND(U63&lt;-750,V63&gt;2),1,0)</f>
        <v>0</v>
      </c>
      <c r="AB63" s="5">
        <f>SUM(Z63:AA63)</f>
        <v>0</v>
      </c>
      <c r="AC63" s="156" t="str">
        <f>IF(AB63&lt;&gt;0,A63&amp;" ("&amp;K63&amp;", "&amp;O63&amp;")"&amp;", ","")</f>
        <v/>
      </c>
    </row>
    <row r="64" spans="1:29" customFormat="1" ht="12.75" customHeight="1" thickBot="1" x14ac:dyDescent="0.3">
      <c r="A64" s="345" t="s">
        <v>1114</v>
      </c>
      <c r="B64" s="475"/>
      <c r="C64" s="469" t="s">
        <v>1115</v>
      </c>
      <c r="D64" s="499"/>
      <c r="E64" s="499"/>
      <c r="F64" s="500"/>
      <c r="G64" s="500"/>
      <c r="H64" s="518" t="s">
        <v>1107</v>
      </c>
      <c r="I64" s="518" t="s">
        <v>1107</v>
      </c>
      <c r="J64" s="518" t="s">
        <v>1107</v>
      </c>
      <c r="K64" s="510">
        <v>16179</v>
      </c>
      <c r="L64" s="518" t="s">
        <v>1107</v>
      </c>
      <c r="M64" s="518" t="s">
        <v>1107</v>
      </c>
      <c r="N64" s="518" t="s">
        <v>1107</v>
      </c>
      <c r="O64" s="510">
        <v>17548</v>
      </c>
      <c r="P64" s="518" t="s">
        <v>1107</v>
      </c>
      <c r="Q64" s="518" t="s">
        <v>1107</v>
      </c>
      <c r="R64" s="518" t="s">
        <v>1107</v>
      </c>
      <c r="S64" s="510">
        <v>17548</v>
      </c>
      <c r="T64" s="507" t="str">
        <f>IF(K64=0,"zero",RIGHT(K64,1))</f>
        <v>9</v>
      </c>
      <c r="U64" s="169">
        <f>K64-O64</f>
        <v>-1369</v>
      </c>
      <c r="V64" s="164">
        <f>IF(AND(OR(K64=0,O64&lt;&gt;0),OR(O64=0,K64&lt;&gt;0)),IF((K64+O64+U64&lt;&gt;0),IF(AND(OR(K64&gt;0,O64&lt;0),OR(O64&gt;0,K64&lt;0)),ABS(U64/MIN(ABS(O64),ABS(K64))),10),"-"),10)</f>
        <v>8.4615860065517023E-2</v>
      </c>
      <c r="W64" s="7"/>
      <c r="X64" s="61"/>
      <c r="Y64" s="388"/>
      <c r="Z64" s="5">
        <f>IF(AND(U64&gt;750,V64&gt;2),1,0)</f>
        <v>0</v>
      </c>
      <c r="AA64" s="5">
        <f>IF(AND(U64&lt;-750,V64&gt;2),1,0)</f>
        <v>0</v>
      </c>
      <c r="AB64" s="5">
        <f>SUM(Z64:AA64)</f>
        <v>0</v>
      </c>
      <c r="AC64" s="156" t="str">
        <f>IF(AB64&lt;&gt;0,A64&amp;" ("&amp;K64&amp;", "&amp;O64&amp;")"&amp;", ","")</f>
        <v/>
      </c>
    </row>
    <row r="65" spans="1:19" customFormat="1" ht="12.75" customHeight="1" x14ac:dyDescent="0.25">
      <c r="A65" s="345" t="s">
        <v>1116</v>
      </c>
      <c r="B65" s="335" t="s">
        <v>1117</v>
      </c>
      <c r="C65" s="360"/>
      <c r="D65" s="360"/>
      <c r="E65" s="360"/>
      <c r="F65" s="397"/>
      <c r="G65" s="397"/>
      <c r="H65" s="517" t="s">
        <v>1107</v>
      </c>
      <c r="I65" s="517" t="s">
        <v>1107</v>
      </c>
      <c r="J65" s="517" t="s">
        <v>1107</v>
      </c>
      <c r="K65" s="349">
        <f>SUM(K63:K64)</f>
        <v>16179</v>
      </c>
      <c r="L65" s="517" t="s">
        <v>1107</v>
      </c>
      <c r="M65" s="517" t="s">
        <v>1107</v>
      </c>
      <c r="N65" s="517" t="s">
        <v>1107</v>
      </c>
      <c r="O65" s="349">
        <f>SUM(O63:O64)</f>
        <v>17548</v>
      </c>
      <c r="P65" s="517" t="s">
        <v>1107</v>
      </c>
      <c r="Q65" s="517" t="s">
        <v>1107</v>
      </c>
      <c r="R65" s="517" t="s">
        <v>1107</v>
      </c>
      <c r="S65" s="442">
        <f>SUM(S63:S64)</f>
        <v>17548</v>
      </c>
    </row>
    <row r="66" spans="1:19" customFormat="1" ht="12.75" customHeight="1" x14ac:dyDescent="0.25">
      <c r="A66" s="345"/>
      <c r="B66" s="476"/>
      <c r="C66" s="477"/>
      <c r="D66" s="477"/>
      <c r="E66" s="477"/>
      <c r="F66" s="478"/>
      <c r="G66" s="478"/>
      <c r="H66" s="520"/>
      <c r="I66" s="520"/>
      <c r="J66" s="520"/>
      <c r="K66" s="520"/>
      <c r="L66" s="520"/>
      <c r="M66" s="520"/>
      <c r="N66" s="520"/>
      <c r="O66" s="520"/>
      <c r="P66" s="520"/>
      <c r="Q66" s="520"/>
      <c r="R66" s="520"/>
      <c r="S66" s="520"/>
    </row>
    <row r="67" spans="1:19" customFormat="1" ht="12.75" customHeight="1" x14ac:dyDescent="0.25">
      <c r="A67" s="345">
        <v>5</v>
      </c>
      <c r="B67" s="405" t="s">
        <v>1118</v>
      </c>
      <c r="C67" s="390"/>
      <c r="D67" s="390"/>
      <c r="E67" s="390"/>
      <c r="F67" s="418"/>
      <c r="G67" s="418"/>
      <c r="H67" s="517" t="s">
        <v>1107</v>
      </c>
      <c r="I67" s="517" t="s">
        <v>1107</v>
      </c>
      <c r="J67" s="517" t="s">
        <v>1107</v>
      </c>
      <c r="K67" s="349">
        <f>SUM(K58,K60,K61,K65)</f>
        <v>390583</v>
      </c>
      <c r="L67" s="517" t="s">
        <v>1107</v>
      </c>
      <c r="M67" s="517" t="s">
        <v>1107</v>
      </c>
      <c r="N67" s="517" t="s">
        <v>1107</v>
      </c>
      <c r="O67" s="349">
        <f>SUM(O58,O60,O61,O65)</f>
        <v>346850</v>
      </c>
      <c r="P67" s="517" t="s">
        <v>1107</v>
      </c>
      <c r="Q67" s="517" t="s">
        <v>1107</v>
      </c>
      <c r="R67" s="517" t="s">
        <v>1107</v>
      </c>
      <c r="S67" s="442">
        <f>SUM(S58,S60,S61,S65)</f>
        <v>346850</v>
      </c>
    </row>
    <row r="68" spans="1:19" customFormat="1" ht="12.75" customHeight="1" x14ac:dyDescent="0.25">
      <c r="A68" s="345"/>
      <c r="B68" s="422"/>
      <c r="C68" s="508"/>
      <c r="D68" s="220"/>
      <c r="E68" s="220"/>
      <c r="F68" s="220"/>
      <c r="G68" s="220"/>
      <c r="H68" s="67"/>
      <c r="I68" s="67"/>
      <c r="J68" s="67"/>
      <c r="K68" s="516"/>
      <c r="L68" s="67"/>
      <c r="M68" s="67"/>
      <c r="N68" s="67"/>
      <c r="O68" s="516"/>
      <c r="P68" s="67"/>
      <c r="Q68" s="67"/>
      <c r="R68" s="67"/>
      <c r="S68" s="516"/>
    </row>
    <row r="69" spans="1:19" customFormat="1" ht="12.75" customHeight="1" x14ac:dyDescent="0.25">
      <c r="A69" s="345">
        <v>6</v>
      </c>
      <c r="B69" s="465" t="s">
        <v>1082</v>
      </c>
      <c r="C69" s="466"/>
      <c r="D69" s="466"/>
      <c r="E69" s="466"/>
      <c r="F69" s="467"/>
      <c r="G69" s="467"/>
      <c r="H69" s="509"/>
      <c r="I69" s="509"/>
      <c r="J69" s="509"/>
      <c r="K69" s="509"/>
      <c r="L69" s="509"/>
      <c r="M69" s="509"/>
      <c r="N69" s="509"/>
      <c r="O69" s="509"/>
      <c r="P69" s="509"/>
      <c r="Q69" s="509"/>
      <c r="R69" s="509"/>
      <c r="S69" s="509"/>
    </row>
    <row r="70" spans="1:19" customFormat="1" ht="12.75" customHeight="1" x14ac:dyDescent="0.25">
      <c r="A70" s="345" t="s">
        <v>1119</v>
      </c>
      <c r="B70" s="390"/>
      <c r="C70" s="390" t="s">
        <v>1120</v>
      </c>
      <c r="D70" s="514"/>
      <c r="E70" s="514"/>
      <c r="F70" s="521"/>
      <c r="G70" s="521"/>
      <c r="H70" s="517" t="s">
        <v>1107</v>
      </c>
      <c r="I70" s="517" t="s">
        <v>1107</v>
      </c>
      <c r="J70" s="517" t="s">
        <v>1107</v>
      </c>
      <c r="K70" s="21">
        <v>1772</v>
      </c>
      <c r="L70" s="517" t="s">
        <v>1107</v>
      </c>
      <c r="M70" s="517" t="s">
        <v>1107</v>
      </c>
      <c r="N70" s="517" t="s">
        <v>1107</v>
      </c>
      <c r="O70" s="21">
        <v>1820</v>
      </c>
      <c r="P70" s="517" t="s">
        <v>1107</v>
      </c>
      <c r="Q70" s="517" t="s">
        <v>1107</v>
      </c>
      <c r="R70" s="517" t="s">
        <v>1107</v>
      </c>
      <c r="S70" s="99">
        <v>0</v>
      </c>
    </row>
    <row r="71" spans="1:19" customFormat="1" ht="12.75" customHeight="1" x14ac:dyDescent="0.25">
      <c r="A71" s="345" t="s">
        <v>1121</v>
      </c>
      <c r="B71" s="390"/>
      <c r="C71" s="390" t="s">
        <v>1122</v>
      </c>
      <c r="D71" s="514"/>
      <c r="E71" s="514"/>
      <c r="F71" s="521"/>
      <c r="G71" s="521"/>
      <c r="H71" s="517" t="s">
        <v>1107</v>
      </c>
      <c r="I71" s="517" t="s">
        <v>1107</v>
      </c>
      <c r="J71" s="517" t="s">
        <v>1107</v>
      </c>
      <c r="K71" s="21">
        <v>7916</v>
      </c>
      <c r="L71" s="517" t="s">
        <v>1107</v>
      </c>
      <c r="M71" s="517" t="s">
        <v>1107</v>
      </c>
      <c r="N71" s="517" t="s">
        <v>1107</v>
      </c>
      <c r="O71" s="21">
        <v>7219</v>
      </c>
      <c r="P71" s="517" t="s">
        <v>1107</v>
      </c>
      <c r="Q71" s="517" t="s">
        <v>1107</v>
      </c>
      <c r="R71" s="517" t="s">
        <v>1107</v>
      </c>
      <c r="S71" s="21">
        <v>0</v>
      </c>
    </row>
    <row r="74" spans="1:19" customFormat="1" ht="12.75" customHeight="1" x14ac:dyDescent="0.25"/>
  </sheetData>
  <sheetProtection algorithmName="SHA-512" hashValue="wjtCgXvB4YvSNfZanD0EvGOFet3U06FtyQKbpV9Vo3gQBM3fRg8s1JPFJQ/b9mPshGMuAfwJojC6wzMzqOtlww==" saltValue="jUUtX6Cw564n4M4c8tp+cw==" spinCount="100000" sheet="1" objects="1"/>
  <mergeCells count="12">
    <mergeCell ref="B1:F1"/>
    <mergeCell ref="H1:K1"/>
    <mergeCell ref="L1:O1"/>
    <mergeCell ref="P1:S1"/>
    <mergeCell ref="L2:O2"/>
    <mergeCell ref="P2:S2"/>
    <mergeCell ref="H3:K3"/>
    <mergeCell ref="L3:O3"/>
    <mergeCell ref="P3:S3"/>
    <mergeCell ref="H4:K4"/>
    <mergeCell ref="L4:O4"/>
    <mergeCell ref="P4:S4"/>
  </mergeCells>
  <conditionalFormatting sqref="X9:Y15 X18:Y24 X37:Y43 X49:Y55 X60:Y61 X63:Y64">
    <cfRule type="expression" dxfId="1" priority="1">
      <formula>AND(OR((V9)&gt;2,(V9)&lt;-2),(V9)&lt;&gt;"-",OR((U9)&gt;750,(U9)&lt;-750))</formula>
    </cfRule>
  </conditionalFormatting>
  <dataValidations count="2">
    <dataValidation operator="greaterThan" allowBlank="1" showInputMessage="1" showErrorMessage="1" sqref="H65510:S65515 H65519:S65527 H65531:S65539 H65542:S65550 H131046:S131051 H131055:S131063 H131067:S131075 H131078:S131086 H196582:S196587 H196591:S196599 H196603:S196611 H196614:S196622 H262118:S262123 H262127:S262135 H262139:S262147 H262150:S262158 H327654:S327659 H327663:S327671 H327675:S327683 H327686:S327694 H393190:S393195 H393199:S393207 H393211:S393219 H393222:S393230 H458726:S458731 H458735:S458743 H458747:S458755 H458758:S458766 H524262:S524267 H524271:S524279 H524283:S524291 H524294:S524302 H589798:S589803 H589807:S589815 H589819:S589827 H589830:S589838 H655334:S655339 H655343:S655351 H655355:S655363 H655366:S655374 H720870:S720875 H720879:S720887 H720891:S720899 H720902:S720910 H786406:S786411 H786415:S786423 H786427:S786435 H786438:S786446 H851942:S851947 H851951:S851959 H851963:S851971 H851974:S851982 H917478:S917483 H917487:S917495 H917499:S917507 H917510:S917518 H983014:S983019 H983023:S983031 H983035:S983043 H983046:S983054"/>
    <dataValidation type="whole" operator="greaterThan" allowBlank="1" showInputMessage="1" showErrorMessage="1" errorTitle="Whole numbers only allowed" error="All monies should be independently rounded to the nearest £1,000." sqref="H9:J15 L9:N15 P9:R15 H18:J24 L18:N24 P18:R24 H37:J43 L37:N43 P37:R43 H49:R55 K60:K61 O60:O61 S60:S61 K63:K64 O63:O64 S63:S64 K71 O71 S71">
      <formula1>-999999999</formula1>
    </dataValidation>
  </dataValidations>
  <printOptions headings="1" gridLines="1"/>
  <pageMargins left="0.31496062992125984" right="0.31496062992125984" top="0.74803149606299213" bottom="0.74803149606299213"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'Hide_me(drop_downs)'!$A$6:$A$10</xm:f>
          </x14:formula1>
          <xm:sqref>X63:Y64 X9:Y15 X18:Y24 X49:Y55 X37:Y43 X60:Y61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L70"/>
  <sheetViews>
    <sheetView workbookViewId="0">
      <pane ySplit="4" topLeftCell="A5" activePane="bottomLeft" state="frozenSplit"/>
      <selection pane="bottomLeft"/>
    </sheetView>
  </sheetViews>
  <sheetFormatPr defaultColWidth="9.85546875" defaultRowHeight="12.75" x14ac:dyDescent="0.2"/>
  <cols>
    <col min="1" max="1" width="10" style="10" bestFit="1" customWidth="1"/>
    <col min="2" max="2" width="2.7109375" style="4" customWidth="1"/>
    <col min="3" max="3" width="2.85546875" style="4" customWidth="1"/>
    <col min="4" max="4" width="92" style="4" customWidth="1"/>
    <col min="5" max="6" width="2.140625" style="4" hidden="1" customWidth="1"/>
    <col min="7" max="7" width="2.42578125" style="4" hidden="1" customWidth="1"/>
    <col min="8" max="8" width="16.5703125" style="4" customWidth="1"/>
    <col min="9" max="9" width="18.85546875" style="4" hidden="1" customWidth="1"/>
    <col min="10" max="10" width="28.7109375" style="4" hidden="1" customWidth="1"/>
    <col min="11" max="11" width="17.7109375" style="4" hidden="1" customWidth="1"/>
    <col min="12" max="12" width="54.85546875" style="4" hidden="1" customWidth="1"/>
    <col min="13" max="13" width="9.85546875" style="4" customWidth="1"/>
    <col min="14" max="16384" width="9.85546875" style="4"/>
  </cols>
  <sheetData>
    <row r="1" spans="1:12" customFormat="1" ht="22.5" customHeight="1" x14ac:dyDescent="0.25">
      <c r="A1" s="483" t="s">
        <v>1123</v>
      </c>
      <c r="B1" s="522" t="s">
        <v>1124</v>
      </c>
      <c r="C1" s="522"/>
      <c r="D1" s="522"/>
      <c r="E1" s="523"/>
      <c r="F1" s="523"/>
      <c r="G1" s="523"/>
      <c r="H1" s="369"/>
      <c r="I1" s="524" t="s">
        <v>709</v>
      </c>
      <c r="J1" s="113" t="s">
        <v>709</v>
      </c>
    </row>
    <row r="2" spans="1:12" customFormat="1" ht="12.75" customHeight="1" x14ac:dyDescent="0.25">
      <c r="A2" s="525"/>
      <c r="B2" s="526"/>
      <c r="C2" s="526"/>
      <c r="D2" s="526"/>
      <c r="E2" s="526"/>
      <c r="F2" s="526"/>
      <c r="G2" s="526"/>
      <c r="H2" s="424"/>
      <c r="I2" s="527" t="s">
        <v>710</v>
      </c>
      <c r="J2" s="114" t="s">
        <v>711</v>
      </c>
    </row>
    <row r="3" spans="1:12" customFormat="1" ht="35.25" customHeight="1" x14ac:dyDescent="0.25">
      <c r="A3" s="525"/>
      <c r="B3" s="526"/>
      <c r="C3" s="526"/>
      <c r="D3" s="526"/>
      <c r="E3" s="526"/>
      <c r="F3" s="526"/>
      <c r="G3" s="526"/>
      <c r="H3" s="300" t="str">
        <f>'Hide_me(drop_downs)'!I1</f>
        <v>Year ended 31 July 2020</v>
      </c>
      <c r="I3" s="528" t="str">
        <f>'Hide_me(drop_downs)'!J1</f>
        <v>Year ended 31 July 2019</v>
      </c>
      <c r="J3" s="115" t="str">
        <f>'Hide_me(drop_downs)'!J1</f>
        <v>Year ended 31 July 2019</v>
      </c>
      <c r="L3" s="377" t="s">
        <v>716</v>
      </c>
    </row>
    <row r="4" spans="1:12" customFormat="1" ht="15" customHeight="1" x14ac:dyDescent="0.25">
      <c r="A4" s="525"/>
      <c r="B4" s="529"/>
      <c r="C4" s="529"/>
      <c r="D4" s="529"/>
      <c r="E4" s="529"/>
      <c r="F4" s="529"/>
      <c r="G4" s="529"/>
      <c r="H4" s="427" t="s">
        <v>717</v>
      </c>
      <c r="I4" s="530" t="s">
        <v>717</v>
      </c>
      <c r="J4" s="116" t="s">
        <v>717</v>
      </c>
    </row>
    <row r="5" spans="1:12" customFormat="1" ht="12.75" customHeight="1" x14ac:dyDescent="0.25">
      <c r="A5" s="345">
        <v>1</v>
      </c>
      <c r="B5" s="13" t="s">
        <v>724</v>
      </c>
      <c r="C5" s="499"/>
      <c r="D5" s="499"/>
      <c r="E5" s="499"/>
      <c r="F5" s="499"/>
      <c r="G5" s="14"/>
      <c r="H5" s="1">
        <f>Table_5_UK!K67</f>
        <v>390583</v>
      </c>
      <c r="I5" s="531">
        <v>0</v>
      </c>
      <c r="J5" s="531">
        <v>0</v>
      </c>
    </row>
    <row r="6" spans="1:12" customFormat="1" ht="12.75" customHeight="1" x14ac:dyDescent="0.25">
      <c r="A6" s="345"/>
      <c r="B6" s="13"/>
      <c r="C6" s="499"/>
      <c r="D6" s="499"/>
      <c r="E6" s="499"/>
      <c r="F6" s="499"/>
      <c r="G6" s="14"/>
      <c r="H6" s="1"/>
      <c r="I6" s="1"/>
      <c r="J6" s="1"/>
    </row>
    <row r="7" spans="1:12" customFormat="1" ht="12.75" customHeight="1" x14ac:dyDescent="0.25">
      <c r="A7" s="345">
        <v>2</v>
      </c>
      <c r="B7" s="476" t="s">
        <v>726</v>
      </c>
      <c r="C7" s="477"/>
      <c r="D7" s="477"/>
      <c r="E7" s="477"/>
      <c r="F7" s="477"/>
      <c r="G7" s="478"/>
      <c r="H7" s="44">
        <f>IF(Title_Page!B4="W",Table_6_Wales!H15,IF(Title_Page!B4="S",Table_6_Scotland!H13,IF(Title_Page!B4="N",Table_6_N_Ireland!H10,0)))</f>
        <v>190823</v>
      </c>
      <c r="I7" s="531">
        <v>0</v>
      </c>
      <c r="J7" s="531">
        <v>0</v>
      </c>
    </row>
    <row r="8" spans="1:12" customFormat="1" ht="12.75" customHeight="1" x14ac:dyDescent="0.25">
      <c r="A8" s="345"/>
      <c r="B8" s="476"/>
      <c r="C8" s="477"/>
      <c r="D8" s="477"/>
      <c r="E8" s="477"/>
      <c r="F8" s="477"/>
      <c r="G8" s="478"/>
      <c r="H8" s="532"/>
      <c r="I8" s="532"/>
      <c r="J8" s="532"/>
    </row>
    <row r="9" spans="1:12" customFormat="1" ht="12.75" customHeight="1" x14ac:dyDescent="0.25">
      <c r="A9" s="345">
        <v>3</v>
      </c>
      <c r="B9" s="465" t="s">
        <v>728</v>
      </c>
      <c r="C9" s="466"/>
      <c r="D9" s="466"/>
      <c r="E9" s="466"/>
      <c r="F9" s="466"/>
      <c r="G9" s="467"/>
      <c r="H9" s="497"/>
      <c r="I9" s="497"/>
      <c r="J9" s="497"/>
    </row>
    <row r="10" spans="1:12" customFormat="1" ht="12.75" customHeight="1" x14ac:dyDescent="0.25">
      <c r="A10" s="345" t="s">
        <v>816</v>
      </c>
      <c r="B10" s="475"/>
      <c r="C10" s="469" t="s">
        <v>1125</v>
      </c>
      <c r="D10" s="533"/>
      <c r="E10" s="533"/>
      <c r="F10" s="533"/>
      <c r="G10" s="534"/>
      <c r="H10" s="3"/>
      <c r="I10" s="3"/>
      <c r="J10" s="3"/>
    </row>
    <row r="11" spans="1:12" customFormat="1" ht="12.75" customHeight="1" x14ac:dyDescent="0.25">
      <c r="A11" s="345" t="s">
        <v>1084</v>
      </c>
      <c r="B11" s="498"/>
      <c r="C11" s="499"/>
      <c r="D11" s="469" t="s">
        <v>1126</v>
      </c>
      <c r="E11" s="499"/>
      <c r="F11" s="499"/>
      <c r="G11" s="500"/>
      <c r="H11" s="1">
        <f>Table_4_UK!H61</f>
        <v>20552</v>
      </c>
      <c r="I11" s="531">
        <v>0</v>
      </c>
      <c r="J11" s="531">
        <v>0</v>
      </c>
    </row>
    <row r="12" spans="1:12" customFormat="1" ht="12.75" customHeight="1" x14ac:dyDescent="0.25">
      <c r="A12" s="345" t="s">
        <v>1086</v>
      </c>
      <c r="B12" s="498"/>
      <c r="C12" s="499"/>
      <c r="D12" s="469" t="s">
        <v>1127</v>
      </c>
      <c r="E12" s="499"/>
      <c r="F12" s="499"/>
      <c r="G12" s="500"/>
      <c r="H12" s="1">
        <f>Table_4_UK!I61</f>
        <v>35267</v>
      </c>
      <c r="I12" s="531">
        <v>0</v>
      </c>
      <c r="J12" s="531">
        <v>0</v>
      </c>
    </row>
    <row r="13" spans="1:12" customFormat="1" ht="12.75" customHeight="1" x14ac:dyDescent="0.25">
      <c r="A13" s="345" t="s">
        <v>1088</v>
      </c>
      <c r="B13" s="498"/>
      <c r="C13" s="499"/>
      <c r="D13" s="469" t="s">
        <v>1128</v>
      </c>
      <c r="E13" s="499"/>
      <c r="F13" s="499"/>
      <c r="G13" s="500"/>
      <c r="H13" s="1">
        <f>Table_4_UK!J61</f>
        <v>9066</v>
      </c>
      <c r="I13" s="531">
        <v>0</v>
      </c>
      <c r="J13" s="531">
        <v>0</v>
      </c>
    </row>
    <row r="14" spans="1:12" customFormat="1" ht="12.75" customHeight="1" x14ac:dyDescent="0.25">
      <c r="A14" s="345" t="s">
        <v>1090</v>
      </c>
      <c r="B14" s="498"/>
      <c r="C14" s="499"/>
      <c r="D14" s="469" t="s">
        <v>1129</v>
      </c>
      <c r="E14" s="499"/>
      <c r="F14" s="499"/>
      <c r="G14" s="500"/>
      <c r="H14" s="1">
        <f>Table_4_UK!K61</f>
        <v>27708</v>
      </c>
      <c r="I14" s="531">
        <v>0</v>
      </c>
      <c r="J14" s="531">
        <v>0</v>
      </c>
    </row>
    <row r="15" spans="1:12" customFormat="1" ht="12.75" customHeight="1" x14ac:dyDescent="0.25">
      <c r="A15" s="345" t="s">
        <v>1092</v>
      </c>
      <c r="B15" s="498"/>
      <c r="C15" s="499"/>
      <c r="D15" s="469" t="s">
        <v>1130</v>
      </c>
      <c r="E15" s="499"/>
      <c r="F15" s="499"/>
      <c r="G15" s="500"/>
      <c r="H15" s="1">
        <f>Table_4_UK!L61</f>
        <v>9312</v>
      </c>
      <c r="I15" s="531">
        <v>0</v>
      </c>
      <c r="J15" s="531">
        <v>0</v>
      </c>
    </row>
    <row r="16" spans="1:12" customFormat="1" ht="12.75" customHeight="1" x14ac:dyDescent="0.25">
      <c r="A16" s="345" t="s">
        <v>1094</v>
      </c>
      <c r="B16" s="498"/>
      <c r="C16" s="499"/>
      <c r="D16" s="469" t="s">
        <v>1131</v>
      </c>
      <c r="E16" s="499"/>
      <c r="F16" s="499"/>
      <c r="G16" s="500"/>
      <c r="H16" s="1">
        <f>Table_4_UK!M61</f>
        <v>1912</v>
      </c>
      <c r="I16" s="531">
        <v>0</v>
      </c>
      <c r="J16" s="531">
        <v>0</v>
      </c>
    </row>
    <row r="17" spans="1:10" customFormat="1" ht="12.75" customHeight="1" x14ac:dyDescent="0.25">
      <c r="A17" s="345" t="s">
        <v>1096</v>
      </c>
      <c r="B17" s="498"/>
      <c r="C17" s="499"/>
      <c r="D17" s="469" t="s">
        <v>1132</v>
      </c>
      <c r="E17" s="499"/>
      <c r="F17" s="499"/>
      <c r="G17" s="500"/>
      <c r="H17" s="1">
        <f>Table_4_UK!N61</f>
        <v>6884</v>
      </c>
      <c r="I17" s="531">
        <v>0</v>
      </c>
      <c r="J17" s="531">
        <v>0</v>
      </c>
    </row>
    <row r="18" spans="1:10" customFormat="1" ht="12.75" customHeight="1" x14ac:dyDescent="0.25">
      <c r="A18" s="345" t="s">
        <v>1098</v>
      </c>
      <c r="B18" s="498"/>
      <c r="C18" s="499"/>
      <c r="D18" s="469" t="s">
        <v>1133</v>
      </c>
      <c r="E18" s="499"/>
      <c r="F18" s="499"/>
      <c r="G18" s="500"/>
      <c r="H18" s="1">
        <f>Table_4_UK!O61</f>
        <v>629</v>
      </c>
      <c r="I18" s="531">
        <v>0</v>
      </c>
      <c r="J18" s="531">
        <v>0</v>
      </c>
    </row>
    <row r="19" spans="1:10" customFormat="1" ht="12.75" customHeight="1" x14ac:dyDescent="0.25">
      <c r="A19" s="345" t="s">
        <v>1134</v>
      </c>
      <c r="B19" s="535"/>
      <c r="C19" s="536"/>
      <c r="D19" s="479" t="s">
        <v>13</v>
      </c>
      <c r="E19" s="536"/>
      <c r="F19" s="536"/>
      <c r="G19" s="537"/>
      <c r="H19" s="1">
        <f>Table_4_UK!P61</f>
        <v>1914</v>
      </c>
      <c r="I19" s="531">
        <v>0</v>
      </c>
      <c r="J19" s="531">
        <v>0</v>
      </c>
    </row>
    <row r="20" spans="1:10" x14ac:dyDescent="0.2">
      <c r="A20" s="345" t="s">
        <v>1135</v>
      </c>
      <c r="B20" s="503"/>
      <c r="C20" s="504" t="s">
        <v>1136</v>
      </c>
      <c r="D20" s="538"/>
      <c r="E20" s="538"/>
      <c r="F20" s="538"/>
      <c r="G20" s="539"/>
      <c r="H20" s="447">
        <f>SUM(H11:H19)</f>
        <v>113244</v>
      </c>
      <c r="I20" s="540">
        <f>SUM(I11:I19)</f>
        <v>0</v>
      </c>
      <c r="J20" s="540">
        <f>SUM(J11:J19)</f>
        <v>0</v>
      </c>
    </row>
    <row r="21" spans="1:10" customFormat="1" ht="12.75" customHeight="1" x14ac:dyDescent="0.25">
      <c r="A21" s="345" t="s">
        <v>818</v>
      </c>
      <c r="B21" s="475"/>
      <c r="C21" s="469" t="s">
        <v>969</v>
      </c>
      <c r="D21" s="470"/>
      <c r="E21" s="470"/>
      <c r="F21" s="470"/>
      <c r="G21" s="471"/>
      <c r="H21" s="1">
        <f>Table_4_UK!R61</f>
        <v>62270</v>
      </c>
      <c r="I21" s="531">
        <v>0</v>
      </c>
      <c r="J21" s="531">
        <v>0</v>
      </c>
    </row>
    <row r="22" spans="1:10" customFormat="1" ht="12.75" customHeight="1" x14ac:dyDescent="0.25">
      <c r="A22" s="345" t="s">
        <v>820</v>
      </c>
      <c r="B22" s="475"/>
      <c r="C22" s="469" t="s">
        <v>970</v>
      </c>
      <c r="D22" s="470"/>
      <c r="E22" s="470"/>
      <c r="F22" s="470"/>
      <c r="G22" s="471"/>
      <c r="H22" s="1">
        <f>Table_4_UK!S61</f>
        <v>264</v>
      </c>
      <c r="I22" s="531">
        <v>0</v>
      </c>
      <c r="J22" s="531">
        <v>0</v>
      </c>
    </row>
    <row r="23" spans="1:10" customFormat="1" ht="12.75" customHeight="1" x14ac:dyDescent="0.25">
      <c r="A23" s="345" t="s">
        <v>822</v>
      </c>
      <c r="B23" s="475"/>
      <c r="C23" s="469" t="s">
        <v>971</v>
      </c>
      <c r="D23" s="470"/>
      <c r="E23" s="470"/>
      <c r="F23" s="470"/>
      <c r="G23" s="471"/>
      <c r="H23" s="1">
        <f>Table_4_UK!T61</f>
        <v>52041</v>
      </c>
      <c r="I23" s="531">
        <v>0</v>
      </c>
      <c r="J23" s="531">
        <v>0</v>
      </c>
    </row>
    <row r="24" spans="1:10" customFormat="1" ht="12.75" customHeight="1" x14ac:dyDescent="0.25">
      <c r="A24" s="345" t="s">
        <v>824</v>
      </c>
      <c r="B24" s="475"/>
      <c r="C24" s="469" t="s">
        <v>972</v>
      </c>
      <c r="D24" s="470"/>
      <c r="E24" s="470"/>
      <c r="F24" s="470"/>
      <c r="G24" s="471"/>
      <c r="H24" s="1">
        <f>Table_4_UK!U61</f>
        <v>0</v>
      </c>
      <c r="I24" s="531">
        <v>0</v>
      </c>
      <c r="J24" s="531">
        <v>0</v>
      </c>
    </row>
    <row r="25" spans="1:10" customFormat="1" ht="12.75" customHeight="1" x14ac:dyDescent="0.25">
      <c r="A25" s="345" t="s">
        <v>826</v>
      </c>
      <c r="B25" s="475"/>
      <c r="C25" s="469" t="s">
        <v>973</v>
      </c>
      <c r="D25" s="470"/>
      <c r="E25" s="470"/>
      <c r="F25" s="470"/>
      <c r="G25" s="471"/>
      <c r="H25" s="1">
        <f>Table_4_UK!V61</f>
        <v>6895</v>
      </c>
      <c r="I25" s="531">
        <v>0</v>
      </c>
      <c r="J25" s="531">
        <v>0</v>
      </c>
    </row>
    <row r="26" spans="1:10" customFormat="1" ht="12.75" customHeight="1" x14ac:dyDescent="0.25">
      <c r="A26" s="345" t="s">
        <v>828</v>
      </c>
      <c r="B26" s="475"/>
      <c r="C26" s="469" t="s">
        <v>974</v>
      </c>
      <c r="D26" s="470"/>
      <c r="E26" s="470"/>
      <c r="F26" s="470"/>
      <c r="G26" s="471"/>
      <c r="H26" s="1">
        <f>Table_4_UK!W61</f>
        <v>1837</v>
      </c>
      <c r="I26" s="531">
        <v>0</v>
      </c>
      <c r="J26" s="531">
        <v>0</v>
      </c>
    </row>
    <row r="27" spans="1:10" x14ac:dyDescent="0.2">
      <c r="A27" s="345" t="s">
        <v>830</v>
      </c>
      <c r="B27" s="504" t="s">
        <v>1137</v>
      </c>
      <c r="C27" s="504"/>
      <c r="D27" s="538"/>
      <c r="E27" s="538"/>
      <c r="F27" s="538"/>
      <c r="G27" s="539"/>
      <c r="H27" s="447">
        <f>SUM(H20:H26)</f>
        <v>236551</v>
      </c>
      <c r="I27" s="540">
        <f>SUM(I20:I26)</f>
        <v>0</v>
      </c>
      <c r="J27" s="540">
        <f>SUM(J20:J26)</f>
        <v>0</v>
      </c>
    </row>
    <row r="28" spans="1:10" customFormat="1" ht="12.75" customHeight="1" x14ac:dyDescent="0.25">
      <c r="A28" s="345" t="s">
        <v>832</v>
      </c>
      <c r="B28" s="475"/>
      <c r="C28" s="469" t="s">
        <v>975</v>
      </c>
      <c r="D28" s="470"/>
      <c r="E28" s="470"/>
      <c r="F28" s="470"/>
      <c r="G28" s="471"/>
      <c r="H28" s="1">
        <f>Table_4_UK!X61</f>
        <v>34937</v>
      </c>
      <c r="I28" s="531">
        <v>0</v>
      </c>
      <c r="J28" s="531">
        <v>0</v>
      </c>
    </row>
    <row r="29" spans="1:10" customFormat="1" ht="12.75" customHeight="1" x14ac:dyDescent="0.25">
      <c r="A29" s="345" t="s">
        <v>1138</v>
      </c>
      <c r="B29" s="475"/>
      <c r="C29" s="469" t="s">
        <v>976</v>
      </c>
      <c r="D29" s="470"/>
      <c r="E29" s="470"/>
      <c r="F29" s="470"/>
      <c r="G29" s="471"/>
      <c r="H29" s="1">
        <f>Table_4_UK!Y61</f>
        <v>137</v>
      </c>
      <c r="I29" s="531">
        <v>0</v>
      </c>
      <c r="J29" s="531">
        <v>0</v>
      </c>
    </row>
    <row r="30" spans="1:10" customFormat="1" ht="12.75" customHeight="1" x14ac:dyDescent="0.25">
      <c r="A30" s="345" t="s">
        <v>1139</v>
      </c>
      <c r="B30" s="475"/>
      <c r="C30" s="469" t="s">
        <v>977</v>
      </c>
      <c r="D30" s="470"/>
      <c r="E30" s="470"/>
      <c r="F30" s="470"/>
      <c r="G30" s="471"/>
      <c r="H30" s="1">
        <f>Table_4_UK!Z61</f>
        <v>2167</v>
      </c>
      <c r="I30" s="531">
        <v>0</v>
      </c>
      <c r="J30" s="531">
        <v>0</v>
      </c>
    </row>
    <row r="31" spans="1:10" customFormat="1" ht="12.75" customHeight="1" x14ac:dyDescent="0.25">
      <c r="A31" s="345" t="s">
        <v>1140</v>
      </c>
      <c r="B31" s="475"/>
      <c r="C31" s="469" t="s">
        <v>978</v>
      </c>
      <c r="D31" s="470"/>
      <c r="E31" s="470"/>
      <c r="F31" s="470"/>
      <c r="G31" s="471"/>
      <c r="H31" s="1">
        <f>Table_4_UK!AA61</f>
        <v>1502</v>
      </c>
      <c r="I31" s="531">
        <v>0</v>
      </c>
      <c r="J31" s="531">
        <v>0</v>
      </c>
    </row>
    <row r="32" spans="1:10" x14ac:dyDescent="0.2">
      <c r="A32" s="345" t="s">
        <v>1141</v>
      </c>
      <c r="B32" s="504" t="s">
        <v>1142</v>
      </c>
      <c r="C32" s="504"/>
      <c r="D32" s="538"/>
      <c r="E32" s="538"/>
      <c r="F32" s="538"/>
      <c r="G32" s="539"/>
      <c r="H32" s="447">
        <f>SUM(H28:H31)</f>
        <v>38743</v>
      </c>
      <c r="I32" s="540">
        <f>SUM(I28:I31)</f>
        <v>0</v>
      </c>
      <c r="J32" s="540">
        <f>SUM(J28:J31)</f>
        <v>0</v>
      </c>
    </row>
    <row r="33" spans="1:10" customFormat="1" ht="12.75" customHeight="1" x14ac:dyDescent="0.25">
      <c r="A33" s="345" t="s">
        <v>1143</v>
      </c>
      <c r="B33" s="475"/>
      <c r="C33" s="469" t="s">
        <v>979</v>
      </c>
      <c r="D33" s="470"/>
      <c r="E33" s="470"/>
      <c r="F33" s="470"/>
      <c r="G33" s="471"/>
      <c r="H33" s="1">
        <f>Table_4_UK!AB61</f>
        <v>7219</v>
      </c>
      <c r="I33" s="531">
        <v>0</v>
      </c>
      <c r="J33" s="531">
        <v>0</v>
      </c>
    </row>
    <row r="34" spans="1:10" customFormat="1" ht="12.75" customHeight="1" x14ac:dyDescent="0.25">
      <c r="A34" s="345" t="s">
        <v>1144</v>
      </c>
      <c r="B34" s="475"/>
      <c r="C34" s="469" t="s">
        <v>980</v>
      </c>
      <c r="D34" s="470"/>
      <c r="E34" s="470"/>
      <c r="F34" s="470"/>
      <c r="G34" s="471"/>
      <c r="H34" s="1">
        <f>Table_4_UK!AC61</f>
        <v>6251</v>
      </c>
      <c r="I34" s="531">
        <v>0</v>
      </c>
      <c r="J34" s="531">
        <v>0</v>
      </c>
    </row>
    <row r="35" spans="1:10" customFormat="1" ht="12.75" customHeight="1" x14ac:dyDescent="0.25">
      <c r="A35" s="345" t="s">
        <v>1145</v>
      </c>
      <c r="B35" s="475"/>
      <c r="C35" s="469" t="s">
        <v>981</v>
      </c>
      <c r="D35" s="470"/>
      <c r="E35" s="470"/>
      <c r="F35" s="470"/>
      <c r="G35" s="471"/>
      <c r="H35" s="1">
        <f>Table_4_UK!AD61</f>
        <v>7371</v>
      </c>
      <c r="I35" s="531">
        <v>0</v>
      </c>
      <c r="J35" s="531">
        <v>0</v>
      </c>
    </row>
    <row r="36" spans="1:10" x14ac:dyDescent="0.2">
      <c r="A36" s="345" t="s">
        <v>1146</v>
      </c>
      <c r="B36" s="504" t="s">
        <v>1147</v>
      </c>
      <c r="C36" s="504"/>
      <c r="D36" s="538"/>
      <c r="E36" s="538"/>
      <c r="F36" s="538"/>
      <c r="G36" s="539"/>
      <c r="H36" s="447">
        <f>SUM(H33:H35)</f>
        <v>20841</v>
      </c>
      <c r="I36" s="540">
        <f>SUM(I33:I35)</f>
        <v>0</v>
      </c>
      <c r="J36" s="540">
        <f>SUM(J33:J35)</f>
        <v>0</v>
      </c>
    </row>
    <row r="37" spans="1:10" customFormat="1" ht="12.75" customHeight="1" x14ac:dyDescent="0.25">
      <c r="A37" s="345" t="s">
        <v>1148</v>
      </c>
      <c r="B37" s="405" t="s">
        <v>1149</v>
      </c>
      <c r="C37" s="390"/>
      <c r="D37" s="390"/>
      <c r="E37" s="390"/>
      <c r="F37" s="390"/>
      <c r="G37" s="418"/>
      <c r="H37" s="447">
        <f>SUM(H27+H32+H36)</f>
        <v>296135</v>
      </c>
      <c r="I37" s="540">
        <f>SUM(I27+I32+I36)</f>
        <v>0</v>
      </c>
      <c r="J37" s="540">
        <f>SUM(J27+J32+J36)</f>
        <v>0</v>
      </c>
    </row>
    <row r="38" spans="1:10" customFormat="1" ht="12.75" customHeight="1" x14ac:dyDescent="0.25">
      <c r="A38" s="345"/>
      <c r="B38" s="476"/>
      <c r="C38" s="477"/>
      <c r="D38" s="477"/>
      <c r="E38" s="477"/>
      <c r="F38" s="477"/>
      <c r="G38" s="478"/>
      <c r="H38" s="532"/>
      <c r="I38" s="532"/>
      <c r="J38" s="532"/>
    </row>
    <row r="39" spans="1:10" customFormat="1" ht="12.75" customHeight="1" x14ac:dyDescent="0.25">
      <c r="A39" s="345">
        <v>4</v>
      </c>
      <c r="B39" s="465" t="s">
        <v>730</v>
      </c>
      <c r="C39" s="466"/>
      <c r="D39" s="466"/>
      <c r="E39" s="466"/>
      <c r="F39" s="466"/>
      <c r="G39" s="467"/>
      <c r="H39" s="497"/>
      <c r="I39" s="497"/>
      <c r="J39" s="497"/>
    </row>
    <row r="40" spans="1:10" customFormat="1" ht="12.75" customHeight="1" x14ac:dyDescent="0.25">
      <c r="A40" s="345" t="s">
        <v>878</v>
      </c>
      <c r="B40" s="475"/>
      <c r="C40" s="469" t="s">
        <v>1150</v>
      </c>
      <c r="D40" s="470"/>
      <c r="E40" s="470"/>
      <c r="F40" s="470"/>
      <c r="G40" s="471"/>
      <c r="H40" s="532"/>
      <c r="I40" s="532"/>
      <c r="J40" s="532"/>
    </row>
    <row r="41" spans="1:10" customFormat="1" ht="24.75" customHeight="1" x14ac:dyDescent="0.25">
      <c r="A41" s="345" t="s">
        <v>1084</v>
      </c>
      <c r="B41" s="498"/>
      <c r="C41" s="536"/>
      <c r="D41" s="178" t="s">
        <v>1151</v>
      </c>
      <c r="E41" s="536"/>
      <c r="F41" s="536"/>
      <c r="G41" s="537"/>
      <c r="H41" s="541">
        <v>3199</v>
      </c>
      <c r="I41" s="531">
        <v>0</v>
      </c>
      <c r="J41" s="531">
        <v>0</v>
      </c>
    </row>
    <row r="42" spans="1:10" x14ac:dyDescent="0.2">
      <c r="A42" s="345" t="s">
        <v>1086</v>
      </c>
      <c r="B42" s="498"/>
      <c r="C42" s="536"/>
      <c r="D42" s="178" t="s">
        <v>1152</v>
      </c>
      <c r="E42" s="536"/>
      <c r="F42" s="536"/>
      <c r="G42" s="537"/>
      <c r="H42" s="541">
        <v>0</v>
      </c>
      <c r="I42" s="531">
        <v>0</v>
      </c>
      <c r="J42" s="531">
        <v>0</v>
      </c>
    </row>
    <row r="43" spans="1:10" customFormat="1" ht="12.75" customHeight="1" x14ac:dyDescent="0.25">
      <c r="A43" s="345" t="s">
        <v>1088</v>
      </c>
      <c r="B43" s="498"/>
      <c r="C43" s="499"/>
      <c r="D43" s="469" t="s">
        <v>13</v>
      </c>
      <c r="E43" s="499"/>
      <c r="F43" s="499"/>
      <c r="G43" s="500"/>
      <c r="H43" s="541">
        <v>24898</v>
      </c>
      <c r="I43" s="531">
        <v>0</v>
      </c>
      <c r="J43" s="531">
        <v>0</v>
      </c>
    </row>
    <row r="44" spans="1:10" customFormat="1" ht="12.75" customHeight="1" x14ac:dyDescent="0.25">
      <c r="A44" s="345" t="s">
        <v>1090</v>
      </c>
      <c r="B44" s="389"/>
      <c r="C44" s="504" t="s">
        <v>1153</v>
      </c>
      <c r="D44" s="391"/>
      <c r="E44" s="391"/>
      <c r="F44" s="391"/>
      <c r="G44" s="392"/>
      <c r="H44" s="447">
        <f>SUM(H41:H43)</f>
        <v>28097</v>
      </c>
      <c r="I44" s="540">
        <f>SUM(I41:I43)</f>
        <v>0</v>
      </c>
      <c r="J44" s="540">
        <f>SUM(J41:J43)</f>
        <v>0</v>
      </c>
    </row>
    <row r="45" spans="1:10" customFormat="1" ht="12.75" customHeight="1" x14ac:dyDescent="0.25">
      <c r="A45" s="345" t="s">
        <v>1114</v>
      </c>
      <c r="B45" s="475"/>
      <c r="C45" s="469" t="s">
        <v>1154</v>
      </c>
      <c r="D45" s="470"/>
      <c r="E45" s="470"/>
      <c r="F45" s="470"/>
      <c r="G45" s="471"/>
      <c r="H45" s="542"/>
      <c r="I45" s="543"/>
      <c r="J45" s="543"/>
    </row>
    <row r="46" spans="1:10" customFormat="1" ht="12.75" customHeight="1" x14ac:dyDescent="0.25">
      <c r="A46" s="345" t="s">
        <v>1084</v>
      </c>
      <c r="B46" s="498"/>
      <c r="C46" s="499"/>
      <c r="D46" s="469" t="s">
        <v>1155</v>
      </c>
      <c r="E46" s="499"/>
      <c r="F46" s="499"/>
      <c r="G46" s="500"/>
      <c r="H46" s="541">
        <v>59680</v>
      </c>
      <c r="I46" s="531">
        <v>0</v>
      </c>
      <c r="J46" s="531">
        <v>0</v>
      </c>
    </row>
    <row r="47" spans="1:10" customFormat="1" ht="12.75" customHeight="1" x14ac:dyDescent="0.25">
      <c r="A47" s="345" t="s">
        <v>1086</v>
      </c>
      <c r="B47" s="498"/>
      <c r="C47" s="499"/>
      <c r="D47" s="469" t="s">
        <v>1156</v>
      </c>
      <c r="E47" s="499"/>
      <c r="F47" s="499"/>
      <c r="G47" s="500"/>
      <c r="H47" s="541">
        <v>8583</v>
      </c>
      <c r="I47" s="531">
        <v>0</v>
      </c>
      <c r="J47" s="531">
        <v>0</v>
      </c>
    </row>
    <row r="48" spans="1:10" customFormat="1" ht="12.75" customHeight="1" x14ac:dyDescent="0.25">
      <c r="A48" s="345" t="s">
        <v>1088</v>
      </c>
      <c r="B48" s="389"/>
      <c r="C48" s="504" t="s">
        <v>1157</v>
      </c>
      <c r="D48" s="391"/>
      <c r="E48" s="391"/>
      <c r="F48" s="391"/>
      <c r="G48" s="392"/>
      <c r="H48" s="447">
        <f>SUM(H46:H47)</f>
        <v>68263</v>
      </c>
      <c r="I48" s="540">
        <f>SUM(I46:I47)</f>
        <v>0</v>
      </c>
      <c r="J48" s="540">
        <f>SUM(J46:J47)</f>
        <v>0</v>
      </c>
    </row>
    <row r="49" spans="1:10" customFormat="1" ht="12.75" customHeight="1" x14ac:dyDescent="0.25">
      <c r="A49" s="345" t="s">
        <v>1116</v>
      </c>
      <c r="B49" s="475"/>
      <c r="C49" s="469" t="s">
        <v>1158</v>
      </c>
      <c r="D49" s="470"/>
      <c r="E49" s="470"/>
      <c r="F49" s="470"/>
      <c r="G49" s="471"/>
      <c r="H49" s="541">
        <v>0</v>
      </c>
      <c r="I49" s="531">
        <v>0</v>
      </c>
      <c r="J49" s="531">
        <v>0</v>
      </c>
    </row>
    <row r="50" spans="1:10" customFormat="1" ht="12.75" customHeight="1" x14ac:dyDescent="0.25">
      <c r="A50" s="345" t="s">
        <v>1159</v>
      </c>
      <c r="B50" s="475"/>
      <c r="C50" s="469" t="s">
        <v>1160</v>
      </c>
      <c r="D50" s="533"/>
      <c r="E50" s="533"/>
      <c r="F50" s="533"/>
      <c r="G50" s="534"/>
      <c r="H50" s="541">
        <v>15523</v>
      </c>
      <c r="I50" s="531">
        <v>0</v>
      </c>
      <c r="J50" s="531">
        <v>0</v>
      </c>
    </row>
    <row r="51" spans="1:10" customFormat="1" ht="12.75" customHeight="1" x14ac:dyDescent="0.25">
      <c r="A51" s="345" t="s">
        <v>1161</v>
      </c>
      <c r="B51" s="475"/>
      <c r="C51" s="469" t="s">
        <v>1162</v>
      </c>
      <c r="D51" s="470"/>
      <c r="E51" s="470"/>
      <c r="F51" s="470"/>
      <c r="G51" s="471"/>
      <c r="H51" s="541">
        <v>42818</v>
      </c>
      <c r="I51" s="531">
        <v>0</v>
      </c>
      <c r="J51" s="531">
        <v>0</v>
      </c>
    </row>
    <row r="52" spans="1:10" customFormat="1" ht="12.75" customHeight="1" x14ac:dyDescent="0.25">
      <c r="A52" s="345" t="s">
        <v>1163</v>
      </c>
      <c r="B52" s="475"/>
      <c r="C52" s="469" t="s">
        <v>1164</v>
      </c>
      <c r="D52" s="470"/>
      <c r="E52" s="470"/>
      <c r="F52" s="470"/>
      <c r="G52" s="471"/>
      <c r="H52" s="541">
        <v>442</v>
      </c>
      <c r="I52" s="531">
        <v>0</v>
      </c>
      <c r="J52" s="531">
        <v>0</v>
      </c>
    </row>
    <row r="53" spans="1:10" customFormat="1" ht="12.75" customHeight="1" x14ac:dyDescent="0.25">
      <c r="A53" s="345" t="s">
        <v>1165</v>
      </c>
      <c r="B53" s="475"/>
      <c r="C53" s="469" t="s">
        <v>1166</v>
      </c>
      <c r="D53" s="470"/>
      <c r="E53" s="470"/>
      <c r="F53" s="470"/>
      <c r="G53" s="471"/>
      <c r="H53" s="541">
        <v>1147</v>
      </c>
      <c r="I53" s="531">
        <v>0</v>
      </c>
      <c r="J53" s="531">
        <v>0</v>
      </c>
    </row>
    <row r="54" spans="1:10" customFormat="1" ht="12.75" customHeight="1" x14ac:dyDescent="0.25">
      <c r="A54" s="345" t="s">
        <v>1167</v>
      </c>
      <c r="B54" s="475"/>
      <c r="C54" s="469" t="s">
        <v>1168</v>
      </c>
      <c r="D54" s="470"/>
      <c r="E54" s="470"/>
      <c r="F54" s="470"/>
      <c r="G54" s="471"/>
      <c r="H54" s="541">
        <v>36073</v>
      </c>
      <c r="I54" s="531">
        <v>0</v>
      </c>
      <c r="J54" s="531">
        <v>0</v>
      </c>
    </row>
    <row r="55" spans="1:10" customFormat="1" ht="12.75" customHeight="1" x14ac:dyDescent="0.25">
      <c r="A55" s="345" t="s">
        <v>1169</v>
      </c>
      <c r="B55" s="405" t="s">
        <v>1170</v>
      </c>
      <c r="C55" s="390"/>
      <c r="D55" s="390"/>
      <c r="E55" s="390"/>
      <c r="F55" s="390"/>
      <c r="G55" s="418"/>
      <c r="H55" s="447">
        <f>H44+SUM(H48:H54)</f>
        <v>192363</v>
      </c>
      <c r="I55" s="540">
        <f>I44+SUM(I48:I54)</f>
        <v>0</v>
      </c>
      <c r="J55" s="540">
        <f>J44+SUM(J48:J54)</f>
        <v>0</v>
      </c>
    </row>
    <row r="56" spans="1:10" customFormat="1" ht="12.75" customHeight="1" x14ac:dyDescent="0.25">
      <c r="A56" s="345"/>
      <c r="B56" s="476"/>
      <c r="C56" s="477"/>
      <c r="D56" s="477"/>
      <c r="E56" s="477"/>
      <c r="F56" s="477"/>
      <c r="G56" s="478"/>
      <c r="H56" s="532"/>
      <c r="I56" s="543"/>
      <c r="J56" s="543"/>
    </row>
    <row r="57" spans="1:10" customFormat="1" ht="12.75" customHeight="1" x14ac:dyDescent="0.25">
      <c r="A57" s="345">
        <v>5</v>
      </c>
      <c r="B57" s="544" t="s">
        <v>732</v>
      </c>
      <c r="C57" s="545"/>
      <c r="D57" s="545"/>
      <c r="E57" s="545"/>
      <c r="F57" s="545"/>
      <c r="G57" s="546"/>
      <c r="H57" s="541">
        <v>17596</v>
      </c>
      <c r="I57" s="531">
        <v>0</v>
      </c>
      <c r="J57" s="531">
        <v>0</v>
      </c>
    </row>
    <row r="58" spans="1:10" customFormat="1" ht="12.75" customHeight="1" x14ac:dyDescent="0.25">
      <c r="A58" s="345"/>
      <c r="B58" s="476"/>
      <c r="C58" s="477"/>
      <c r="D58" s="477"/>
      <c r="E58" s="477"/>
      <c r="F58" s="477"/>
      <c r="G58" s="478"/>
      <c r="H58" s="532"/>
      <c r="I58" s="543"/>
      <c r="J58" s="543"/>
    </row>
    <row r="59" spans="1:10" customFormat="1" ht="12.75" customHeight="1" x14ac:dyDescent="0.25">
      <c r="A59" s="345">
        <v>6</v>
      </c>
      <c r="B59" s="321" t="s">
        <v>1171</v>
      </c>
      <c r="C59" s="361"/>
      <c r="D59" s="361"/>
      <c r="E59" s="361"/>
      <c r="F59" s="361"/>
      <c r="G59" s="362"/>
      <c r="H59" s="447">
        <f>H5+H7+H37+H55+H57</f>
        <v>1087500</v>
      </c>
      <c r="I59" s="540">
        <f>I5+I7+I37+I55+I57</f>
        <v>0</v>
      </c>
      <c r="J59" s="540">
        <f>J5+J7+J37+J55+J57</f>
        <v>0</v>
      </c>
    </row>
    <row r="60" spans="1:10" customFormat="1" ht="12.75" customHeight="1" x14ac:dyDescent="0.25">
      <c r="A60" s="345"/>
      <c r="B60" s="476"/>
      <c r="C60" s="477"/>
      <c r="D60" s="477"/>
      <c r="E60" s="477"/>
      <c r="F60" s="477"/>
      <c r="G60" s="478"/>
      <c r="H60" s="532"/>
      <c r="I60" s="543"/>
      <c r="J60" s="543"/>
    </row>
    <row r="61" spans="1:10" customFormat="1" ht="12.75" customHeight="1" x14ac:dyDescent="0.25">
      <c r="A61" s="345">
        <v>7</v>
      </c>
      <c r="B61" s="466" t="s">
        <v>734</v>
      </c>
      <c r="C61" s="466"/>
      <c r="D61" s="466"/>
      <c r="E61" s="466"/>
      <c r="F61" s="466"/>
      <c r="G61" s="466"/>
      <c r="H61" s="547"/>
      <c r="I61" s="548"/>
      <c r="J61" s="548"/>
    </row>
    <row r="62" spans="1:10" x14ac:dyDescent="0.2">
      <c r="A62" s="345" t="s">
        <v>838</v>
      </c>
      <c r="B62" s="31"/>
      <c r="C62" s="469" t="s">
        <v>1172</v>
      </c>
      <c r="D62" s="499"/>
      <c r="E62" s="499"/>
      <c r="F62" s="499"/>
      <c r="G62" s="39"/>
      <c r="H62" s="541">
        <v>18112</v>
      </c>
      <c r="I62" s="531">
        <v>0</v>
      </c>
      <c r="J62" s="531">
        <v>0</v>
      </c>
    </row>
    <row r="63" spans="1:10" x14ac:dyDescent="0.2">
      <c r="A63" s="345" t="s">
        <v>839</v>
      </c>
      <c r="B63" s="31"/>
      <c r="C63" s="469" t="s">
        <v>1173</v>
      </c>
      <c r="D63" s="499"/>
      <c r="E63" s="499"/>
      <c r="F63" s="499"/>
      <c r="G63" s="39"/>
      <c r="H63" s="541">
        <v>17650</v>
      </c>
      <c r="I63" s="531">
        <v>0</v>
      </c>
      <c r="J63" s="531">
        <v>0</v>
      </c>
    </row>
    <row r="64" spans="1:10" x14ac:dyDescent="0.2">
      <c r="A64" s="345" t="s">
        <v>840</v>
      </c>
      <c r="B64" s="31"/>
      <c r="C64" s="469" t="s">
        <v>1174</v>
      </c>
      <c r="D64" s="499"/>
      <c r="E64" s="499"/>
      <c r="F64" s="499"/>
      <c r="G64" s="39"/>
      <c r="H64" s="541">
        <v>2059</v>
      </c>
      <c r="I64" s="531">
        <v>0</v>
      </c>
      <c r="J64" s="531">
        <v>0</v>
      </c>
    </row>
    <row r="65" spans="1:10" x14ac:dyDescent="0.2">
      <c r="A65" s="345" t="s">
        <v>841</v>
      </c>
      <c r="B65" s="321" t="s">
        <v>1175</v>
      </c>
      <c r="C65" s="514"/>
      <c r="D65" s="514"/>
      <c r="E65" s="514"/>
      <c r="F65" s="514"/>
      <c r="G65" s="362"/>
      <c r="H65" s="447">
        <f>SUM(H62:H64)</f>
        <v>37821</v>
      </c>
      <c r="I65" s="540">
        <f>SUM(I62:I64)</f>
        <v>0</v>
      </c>
      <c r="J65" s="540">
        <f>SUM(J62:J64)</f>
        <v>0</v>
      </c>
    </row>
    <row r="66" spans="1:10" customFormat="1" ht="12.75" customHeight="1" x14ac:dyDescent="0.25">
      <c r="A66" s="345"/>
      <c r="B66" s="476"/>
      <c r="C66" s="477"/>
      <c r="D66" s="477"/>
      <c r="E66" s="477"/>
      <c r="F66" s="477"/>
      <c r="G66" s="478"/>
      <c r="H66" s="532"/>
      <c r="I66" s="543"/>
      <c r="J66" s="543"/>
    </row>
    <row r="67" spans="1:10" x14ac:dyDescent="0.2">
      <c r="A67" s="345">
        <v>8</v>
      </c>
      <c r="B67" s="338" t="s">
        <v>736</v>
      </c>
      <c r="C67" s="549"/>
      <c r="D67" s="549"/>
      <c r="E67" s="549"/>
      <c r="F67" s="549"/>
      <c r="G67" s="549"/>
      <c r="H67" s="447">
        <f>H59+H65</f>
        <v>1125321</v>
      </c>
      <c r="I67" s="540">
        <f>I59+I65</f>
        <v>0</v>
      </c>
      <c r="J67" s="540">
        <f>J59+J65</f>
        <v>0</v>
      </c>
    </row>
    <row r="68" spans="1:10" customFormat="1" ht="12.75" customHeight="1" x14ac:dyDescent="0.25"/>
    <row r="69" spans="1:10" customFormat="1" ht="12.75" customHeight="1" x14ac:dyDescent="0.25"/>
    <row r="70" spans="1:10" customFormat="1" ht="12.75" customHeight="1" x14ac:dyDescent="0.25"/>
  </sheetData>
  <sheetProtection algorithmName="SHA-512" hashValue="9zJ+qehEDPkDqo4sTZEnpS3uZlvA/C8vEw6IB6g2sfHsn2gb7it8B1k/IWybasCecI27fz3BtB5tyuGGHAEBoQ==" saltValue="dVD9jWaFD7ZuXK2mXHY1wA==" spinCount="100000" sheet="1" objects="1"/>
  <dataValidations count="1">
    <dataValidation type="whole" operator="greaterThan" allowBlank="1" showInputMessage="1" showErrorMessage="1" errorTitle="Whole numbers only allowed" error="All monies should be independently rounded to the nearest £1,000." sqref="I5:J5 I7:J7 I11:J19 I21:J26 I28:J31 I33:J35 H41:J43 H46:J47 H49:J54 H57:J57 H62:J64">
      <formula1>-999999999</formula1>
    </dataValidation>
  </dataValidations>
  <printOptions headings="1" gridLines="1"/>
  <pageMargins left="0.11811023622047245" right="0.11811023622047245" top="0.35433070866141736" bottom="0.35433070866141736" header="0.31496062992125984" footer="0.31496062992125984"/>
  <pageSetup paperSize="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J16"/>
  <sheetViews>
    <sheetView workbookViewId="0">
      <selection activeCell="B16" sqref="B16"/>
    </sheetView>
  </sheetViews>
  <sheetFormatPr defaultColWidth="10.5703125" defaultRowHeight="15" x14ac:dyDescent="0.25"/>
  <cols>
    <col min="1" max="1" width="13.5703125" bestFit="1" customWidth="1"/>
    <col min="2" max="2" width="1.7109375" customWidth="1"/>
    <col min="3" max="3" width="78.7109375" customWidth="1"/>
    <col min="4" max="4" width="7" hidden="1" customWidth="1"/>
    <col min="5" max="5" width="7.28515625" hidden="1" customWidth="1"/>
    <col min="6" max="6" width="6.7109375" hidden="1" customWidth="1"/>
    <col min="7" max="7" width="7.85546875" hidden="1" customWidth="1"/>
  </cols>
  <sheetData>
    <row r="1" spans="1:10" ht="15.75" customHeight="1" x14ac:dyDescent="0.25">
      <c r="A1" s="550" t="s">
        <v>1176</v>
      </c>
      <c r="B1" s="523" t="s">
        <v>1177</v>
      </c>
      <c r="C1" s="523"/>
      <c r="D1" s="523"/>
      <c r="E1" s="523"/>
      <c r="F1" s="523"/>
      <c r="G1" s="523"/>
      <c r="H1" s="551"/>
      <c r="J1" s="4"/>
    </row>
    <row r="2" spans="1:10" ht="13.7" customHeight="1" x14ac:dyDescent="0.25">
      <c r="A2" s="552"/>
      <c r="B2" s="553"/>
      <c r="C2" s="553"/>
      <c r="D2" s="553"/>
      <c r="E2" s="553"/>
      <c r="F2" s="553"/>
      <c r="G2" s="553"/>
      <c r="H2" s="553"/>
      <c r="J2" s="554"/>
    </row>
    <row r="3" spans="1:10" ht="11.65" customHeight="1" x14ac:dyDescent="0.25">
      <c r="A3" s="553"/>
      <c r="B3" s="553"/>
      <c r="C3" s="553"/>
      <c r="D3" s="553"/>
      <c r="E3" s="553"/>
      <c r="F3" s="553"/>
      <c r="G3" s="553"/>
      <c r="H3" s="553"/>
    </row>
    <row r="4" spans="1:10" s="4" customFormat="1" ht="15" customHeight="1" x14ac:dyDescent="0.25">
      <c r="A4" s="555"/>
      <c r="B4" s="556"/>
      <c r="C4" s="556"/>
      <c r="D4" s="556"/>
      <c r="E4" s="556"/>
      <c r="F4" s="556"/>
      <c r="G4" s="556"/>
      <c r="H4" s="381" t="s">
        <v>717</v>
      </c>
    </row>
    <row r="5" spans="1:10" s="4" customFormat="1" ht="12.4" customHeight="1" x14ac:dyDescent="0.2">
      <c r="A5" s="557"/>
      <c r="B5" s="558" t="s">
        <v>1178</v>
      </c>
      <c r="C5" s="466"/>
      <c r="D5" s="466"/>
      <c r="E5" s="466"/>
      <c r="F5" s="466"/>
      <c r="G5" s="467"/>
      <c r="H5" s="433"/>
    </row>
    <row r="6" spans="1:10" s="4" customFormat="1" ht="12.4" customHeight="1" x14ac:dyDescent="0.2">
      <c r="A6" s="345" t="s">
        <v>723</v>
      </c>
      <c r="B6" s="477" t="s">
        <v>1179</v>
      </c>
      <c r="C6" s="477"/>
      <c r="D6" s="477"/>
      <c r="E6" s="470"/>
      <c r="F6" s="470"/>
      <c r="G6" s="471"/>
      <c r="H6" s="541">
        <v>0</v>
      </c>
    </row>
    <row r="7" spans="1:10" s="4" customFormat="1" ht="12.4" customHeight="1" x14ac:dyDescent="0.2">
      <c r="A7" s="345" t="s">
        <v>725</v>
      </c>
      <c r="B7" s="477" t="s">
        <v>1180</v>
      </c>
      <c r="C7" s="477"/>
      <c r="D7" s="477"/>
      <c r="E7" s="470"/>
      <c r="F7" s="470"/>
      <c r="G7" s="17"/>
      <c r="H7" s="541">
        <v>0</v>
      </c>
    </row>
    <row r="8" spans="1:10" s="4" customFormat="1" ht="12.4" customHeight="1" x14ac:dyDescent="0.2">
      <c r="A8" s="345" t="s">
        <v>727</v>
      </c>
      <c r="B8" s="477" t="s">
        <v>1181</v>
      </c>
      <c r="C8" s="477"/>
      <c r="D8" s="477"/>
      <c r="E8" s="470"/>
      <c r="F8" s="470"/>
      <c r="G8" s="17"/>
      <c r="H8" s="541">
        <v>0</v>
      </c>
    </row>
    <row r="9" spans="1:10" s="4" customFormat="1" ht="12.4" customHeight="1" x14ac:dyDescent="0.2">
      <c r="A9" s="345" t="s">
        <v>729</v>
      </c>
      <c r="B9" s="477" t="s">
        <v>1182</v>
      </c>
      <c r="C9" s="477"/>
      <c r="D9" s="477"/>
      <c r="E9" s="470"/>
      <c r="F9" s="470"/>
      <c r="G9" s="17"/>
      <c r="H9" s="541">
        <v>0</v>
      </c>
    </row>
    <row r="10" spans="1:10" s="4" customFormat="1" ht="12.4" customHeight="1" x14ac:dyDescent="0.2">
      <c r="A10" s="345" t="s">
        <v>731</v>
      </c>
      <c r="B10" s="477" t="s">
        <v>1183</v>
      </c>
      <c r="C10" s="477"/>
      <c r="D10" s="477"/>
      <c r="E10" s="470"/>
      <c r="F10" s="470"/>
      <c r="G10" s="17"/>
      <c r="H10" s="541">
        <v>0</v>
      </c>
    </row>
    <row r="11" spans="1:10" s="4" customFormat="1" ht="12.4" customHeight="1" x14ac:dyDescent="0.2">
      <c r="A11" s="345" t="s">
        <v>733</v>
      </c>
      <c r="B11" s="477" t="s">
        <v>1184</v>
      </c>
      <c r="C11" s="477"/>
      <c r="D11" s="477"/>
      <c r="E11" s="470"/>
      <c r="F11" s="470"/>
      <c r="G11" s="500"/>
      <c r="H11" s="541">
        <v>0</v>
      </c>
    </row>
    <row r="12" spans="1:10" s="4" customFormat="1" ht="12.4" customHeight="1" x14ac:dyDescent="0.2">
      <c r="A12" s="345" t="s">
        <v>735</v>
      </c>
      <c r="B12" s="477" t="s">
        <v>1185</v>
      </c>
      <c r="C12" s="477"/>
      <c r="D12" s="477"/>
      <c r="E12" s="470"/>
      <c r="F12" s="470"/>
      <c r="G12" s="500"/>
      <c r="H12" s="541">
        <v>0</v>
      </c>
    </row>
    <row r="13" spans="1:10" s="4" customFormat="1" ht="12.4" customHeight="1" x14ac:dyDescent="0.2">
      <c r="A13" s="345" t="s">
        <v>799</v>
      </c>
      <c r="B13" s="477" t="s">
        <v>1186</v>
      </c>
      <c r="C13" s="477"/>
      <c r="D13" s="477"/>
      <c r="E13" s="470"/>
      <c r="F13" s="470"/>
      <c r="G13" s="500"/>
      <c r="H13" s="541">
        <v>0</v>
      </c>
    </row>
    <row r="14" spans="1:10" s="4" customFormat="1" ht="12.4" customHeight="1" x14ac:dyDescent="0.2">
      <c r="A14" s="345" t="s">
        <v>306</v>
      </c>
      <c r="B14" s="477" t="s">
        <v>1187</v>
      </c>
      <c r="C14" s="477"/>
      <c r="D14" s="470"/>
      <c r="E14" s="470"/>
      <c r="F14" s="470"/>
      <c r="G14" s="15"/>
      <c r="H14" s="541">
        <v>0</v>
      </c>
    </row>
    <row r="15" spans="1:10" s="4" customFormat="1" ht="12.4" customHeight="1" x14ac:dyDescent="0.2">
      <c r="A15" s="345" t="s">
        <v>308</v>
      </c>
      <c r="B15" s="405" t="s">
        <v>1188</v>
      </c>
      <c r="C15" s="390"/>
      <c r="D15" s="390"/>
      <c r="E15" s="390"/>
      <c r="F15" s="390"/>
      <c r="G15" s="418"/>
      <c r="H15" s="447">
        <f>SUM(H6:H14)</f>
        <v>0</v>
      </c>
    </row>
    <row r="16" spans="1:10" x14ac:dyDescent="0.25">
      <c r="A16" s="345">
        <v>2</v>
      </c>
      <c r="B16" s="559" t="s">
        <v>1189</v>
      </c>
      <c r="C16" s="179"/>
      <c r="D16" s="42"/>
      <c r="E16" s="42"/>
      <c r="F16" s="42"/>
      <c r="G16" s="42"/>
      <c r="H16" s="541">
        <v>0</v>
      </c>
    </row>
  </sheetData>
  <sheetProtection algorithmName="SHA-512" hashValue="QGtZ0++RitDtr72/4YPiqQfJu3gNJlCbvWY+uGnG5S6n2O5vXeZ1U2sh1A0152lL1AomwNMHEdkbeAaK2NF8CQ==" saltValue="GgyOC+51rLs0QscytwwaFg==" spinCount="100000" sheet="1" objects="1"/>
  <dataValidations count="1">
    <dataValidation type="whole" operator="greaterThan" allowBlank="1" showInputMessage="1" showErrorMessage="1" errorTitle="Whole numbers only allowed" error="All monies should be independently rounded to the nearest £1,000." sqref="H6:H14 H16">
      <formula1>-999999999</formula1>
    </dataValidation>
  </dataValidations>
  <printOptions headings="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20"/>
  <sheetViews>
    <sheetView workbookViewId="0">
      <selection activeCell="C27" sqref="C27"/>
    </sheetView>
  </sheetViews>
  <sheetFormatPr defaultColWidth="10.5703125" defaultRowHeight="15" x14ac:dyDescent="0.25"/>
  <cols>
    <col min="1" max="1" width="14.28515625" customWidth="1"/>
    <col min="2" max="2" width="2.85546875" customWidth="1"/>
    <col min="3" max="3" width="47.7109375" customWidth="1"/>
    <col min="4" max="7" width="2.42578125" hidden="1" customWidth="1"/>
    <col min="8" max="8" width="21.5703125" customWidth="1"/>
    <col min="9" max="10" width="15.140625" customWidth="1"/>
    <col min="11" max="11" width="16" customWidth="1"/>
    <col min="12" max="12" width="15.42578125" customWidth="1"/>
    <col min="13" max="13" width="15.7109375" customWidth="1"/>
  </cols>
  <sheetData>
    <row r="1" spans="1:11" ht="15.4" customHeight="1" x14ac:dyDescent="0.25">
      <c r="A1" s="550" t="s">
        <v>1190</v>
      </c>
      <c r="B1" s="523" t="s">
        <v>1191</v>
      </c>
      <c r="C1" s="523"/>
      <c r="D1" s="523"/>
      <c r="E1" s="523"/>
      <c r="F1" s="523"/>
      <c r="G1" s="523"/>
      <c r="H1" s="551"/>
      <c r="I1" s="4"/>
      <c r="J1" s="4"/>
      <c r="K1" s="4"/>
    </row>
    <row r="2" spans="1:11" ht="12" customHeight="1" x14ac:dyDescent="0.25">
      <c r="A2" s="552"/>
      <c r="B2" s="553"/>
      <c r="C2" s="553"/>
      <c r="D2" s="553"/>
      <c r="E2" s="553"/>
      <c r="F2" s="553"/>
      <c r="G2" s="553"/>
      <c r="H2" s="560"/>
      <c r="I2" s="4"/>
      <c r="J2" s="4"/>
      <c r="K2" s="4"/>
    </row>
    <row r="3" spans="1:11" ht="13.7" customHeight="1" x14ac:dyDescent="0.25">
      <c r="A3" s="552"/>
      <c r="B3" s="553"/>
      <c r="C3" s="553"/>
      <c r="D3" s="553"/>
      <c r="E3" s="553"/>
      <c r="F3" s="553"/>
      <c r="G3" s="553"/>
      <c r="H3" s="560"/>
    </row>
    <row r="4" spans="1:11" ht="15.4" customHeight="1" x14ac:dyDescent="0.25">
      <c r="A4" s="555"/>
      <c r="B4" s="556" t="s">
        <v>1192</v>
      </c>
      <c r="C4" s="556"/>
      <c r="D4" s="556"/>
      <c r="E4" s="556"/>
      <c r="F4" s="556"/>
      <c r="G4" s="556"/>
      <c r="H4" s="381" t="s">
        <v>717</v>
      </c>
    </row>
    <row r="5" spans="1:11" ht="12.75" customHeight="1" x14ac:dyDescent="0.25">
      <c r="A5" s="561">
        <v>1</v>
      </c>
      <c r="B5" s="558" t="s">
        <v>726</v>
      </c>
      <c r="C5" s="562"/>
      <c r="D5" s="562"/>
      <c r="E5" s="562"/>
      <c r="F5" s="562"/>
      <c r="G5" s="562"/>
      <c r="H5" s="563"/>
      <c r="I5" s="4"/>
      <c r="J5" s="4"/>
    </row>
    <row r="6" spans="1:11" ht="12.75" customHeight="1" x14ac:dyDescent="0.25">
      <c r="A6" s="345" t="s">
        <v>723</v>
      </c>
      <c r="B6" s="469" t="s">
        <v>1193</v>
      </c>
      <c r="C6" s="469"/>
      <c r="D6" s="499"/>
      <c r="E6" s="499"/>
      <c r="F6" s="499"/>
      <c r="G6" s="15"/>
      <c r="H6" s="541">
        <v>66348</v>
      </c>
      <c r="I6" s="4"/>
      <c r="J6" s="4"/>
    </row>
    <row r="7" spans="1:11" ht="12.75" customHeight="1" x14ac:dyDescent="0.25">
      <c r="A7" s="345" t="s">
        <v>725</v>
      </c>
      <c r="B7" s="469" t="s">
        <v>1194</v>
      </c>
      <c r="C7" s="469"/>
      <c r="D7" s="499"/>
      <c r="E7" s="499"/>
      <c r="F7" s="499"/>
      <c r="G7" s="15"/>
      <c r="H7" s="541">
        <v>87827</v>
      </c>
      <c r="I7" s="4"/>
      <c r="J7" s="4"/>
    </row>
    <row r="8" spans="1:11" ht="12.75" customHeight="1" x14ac:dyDescent="0.25">
      <c r="A8" s="345" t="s">
        <v>727</v>
      </c>
      <c r="B8" s="469" t="s">
        <v>1195</v>
      </c>
      <c r="C8" s="469"/>
      <c r="D8" s="499"/>
      <c r="E8" s="499"/>
      <c r="F8" s="499"/>
      <c r="G8" s="15"/>
      <c r="H8" s="541">
        <v>0</v>
      </c>
      <c r="I8" s="4"/>
      <c r="J8" s="4"/>
    </row>
    <row r="9" spans="1:11" ht="12.75" customHeight="1" x14ac:dyDescent="0.25">
      <c r="A9" s="345" t="s">
        <v>729</v>
      </c>
      <c r="B9" s="469" t="s">
        <v>1196</v>
      </c>
      <c r="C9" s="469"/>
      <c r="D9" s="499"/>
      <c r="E9" s="499"/>
      <c r="F9" s="499"/>
      <c r="G9" s="15"/>
      <c r="H9" s="541">
        <v>12800</v>
      </c>
      <c r="I9" s="4"/>
      <c r="J9" s="4"/>
    </row>
    <row r="10" spans="1:11" ht="12.75" customHeight="1" x14ac:dyDescent="0.25">
      <c r="A10" s="345" t="s">
        <v>731</v>
      </c>
      <c r="B10" s="469" t="s">
        <v>1197</v>
      </c>
      <c r="C10" s="469"/>
      <c r="D10" s="499"/>
      <c r="E10" s="499"/>
      <c r="F10" s="499"/>
      <c r="G10" s="15"/>
      <c r="H10" s="541">
        <v>16803</v>
      </c>
      <c r="I10" s="4"/>
      <c r="J10" s="4"/>
    </row>
    <row r="11" spans="1:11" ht="12.75" customHeight="1" x14ac:dyDescent="0.25">
      <c r="A11" s="345" t="s">
        <v>733</v>
      </c>
      <c r="B11" s="469" t="s">
        <v>1164</v>
      </c>
      <c r="C11" s="469"/>
      <c r="D11" s="499"/>
      <c r="E11" s="499"/>
      <c r="F11" s="499"/>
      <c r="G11" s="15"/>
      <c r="H11" s="541">
        <v>7045</v>
      </c>
      <c r="I11" s="4"/>
      <c r="J11" s="4"/>
    </row>
    <row r="12" spans="1:11" ht="12.75" customHeight="1" x14ac:dyDescent="0.25">
      <c r="A12" s="345" t="s">
        <v>735</v>
      </c>
      <c r="B12" s="469" t="s">
        <v>1198</v>
      </c>
      <c r="C12" s="469"/>
      <c r="D12" s="499"/>
      <c r="E12" s="499"/>
      <c r="F12" s="499"/>
      <c r="G12" s="15"/>
      <c r="H12" s="541">
        <v>0</v>
      </c>
      <c r="I12" s="4"/>
      <c r="J12" s="4"/>
    </row>
    <row r="13" spans="1:11" ht="12.75" customHeight="1" x14ac:dyDescent="0.25">
      <c r="A13" s="345" t="s">
        <v>799</v>
      </c>
      <c r="B13" s="405" t="s">
        <v>1199</v>
      </c>
      <c r="C13" s="390"/>
      <c r="D13" s="390"/>
      <c r="E13" s="390"/>
      <c r="F13" s="390"/>
      <c r="G13" s="418"/>
      <c r="H13" s="447">
        <f>SUM(H6:H12)</f>
        <v>190823</v>
      </c>
      <c r="J13" s="4"/>
    </row>
    <row r="14" spans="1:11" ht="12.75" customHeight="1" x14ac:dyDescent="0.25">
      <c r="A14" s="307"/>
      <c r="B14" s="13"/>
      <c r="C14" s="385"/>
      <c r="D14" s="385"/>
      <c r="E14" s="385"/>
      <c r="F14" s="385"/>
      <c r="G14" s="14"/>
      <c r="H14" s="2"/>
      <c r="J14" s="4"/>
    </row>
    <row r="15" spans="1:11" x14ac:dyDescent="0.25">
      <c r="A15" s="345">
        <v>2</v>
      </c>
      <c r="B15" s="357" t="s">
        <v>876</v>
      </c>
      <c r="C15" s="398"/>
      <c r="D15" s="398"/>
      <c r="E15" s="419"/>
      <c r="F15" s="419"/>
      <c r="G15" s="420"/>
      <c r="H15" s="421"/>
    </row>
    <row r="16" spans="1:11" x14ac:dyDescent="0.25">
      <c r="A16" s="345" t="s">
        <v>738</v>
      </c>
      <c r="B16" s="469" t="s">
        <v>1200</v>
      </c>
      <c r="C16" s="394"/>
      <c r="D16" s="394"/>
      <c r="E16" s="395"/>
      <c r="F16" s="395"/>
      <c r="G16" s="396"/>
      <c r="H16" s="21">
        <v>6012</v>
      </c>
    </row>
    <row r="17" spans="1:10" x14ac:dyDescent="0.25">
      <c r="A17" s="345" t="s">
        <v>740</v>
      </c>
      <c r="B17" s="469" t="s">
        <v>1201</v>
      </c>
      <c r="C17" s="394"/>
      <c r="D17" s="394"/>
      <c r="E17" s="395"/>
      <c r="F17" s="395"/>
      <c r="G17" s="396"/>
      <c r="H17" s="21">
        <v>16969</v>
      </c>
    </row>
    <row r="18" spans="1:10" ht="12.75" customHeight="1" x14ac:dyDescent="0.25">
      <c r="A18" s="345"/>
      <c r="B18" s="13"/>
      <c r="C18" s="385"/>
      <c r="D18" s="385"/>
      <c r="E18" s="385"/>
      <c r="F18" s="385"/>
      <c r="G18" s="14"/>
      <c r="H18" s="2"/>
      <c r="J18" s="4"/>
    </row>
    <row r="19" spans="1:10" ht="12.75" customHeight="1" x14ac:dyDescent="0.25">
      <c r="A19" s="345"/>
      <c r="B19" s="730"/>
      <c r="C19" s="731"/>
      <c r="D19" s="731"/>
      <c r="E19" s="385"/>
      <c r="F19" s="385"/>
      <c r="G19" s="14"/>
      <c r="H19" s="564" t="s">
        <v>1202</v>
      </c>
      <c r="J19" s="4"/>
    </row>
    <row r="20" spans="1:10" x14ac:dyDescent="0.25">
      <c r="A20" s="345">
        <v>3</v>
      </c>
      <c r="B20" s="469" t="s">
        <v>1203</v>
      </c>
      <c r="C20" s="394"/>
      <c r="D20" s="394"/>
      <c r="E20" s="395"/>
      <c r="F20" s="395"/>
      <c r="G20" s="396"/>
      <c r="H20" s="565">
        <v>1120.82</v>
      </c>
    </row>
  </sheetData>
  <sheetProtection algorithmName="SHA-512" hashValue="JkvJXHYC/lSc2/8t3sPUp+Uwgf99LJBV0k9gSe2534zEKwHj9cM8EEsRqBHU7O7jos6z7LcNPwuD2fA/I64F3g==" saltValue="O6EzwKp1n3OsTGZyu7LcJw==" spinCount="100000" sheet="1" objects="1"/>
  <mergeCells count="1">
    <mergeCell ref="B19:D19"/>
  </mergeCells>
  <dataValidations count="1">
    <dataValidation type="whole" operator="greaterThan" allowBlank="1" showInputMessage="1" showErrorMessage="1" errorTitle="Whole numbers only allowed" error="All monies should be independently rounded to the nearest £1,000." sqref="H6:H12 H16:I17">
      <formula1>-99999999</formula1>
    </dataValidation>
  </dataValidations>
  <printOptions headings="1"/>
  <pageMargins left="0.70866141732283472" right="0.70866141732283472" top="0.74803149606299213" bottom="0.74803149606299213" header="0.31496062992125984" footer="0.31496062992125984"/>
  <pageSetup paperSize="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11"/>
  <sheetViews>
    <sheetView workbookViewId="0"/>
  </sheetViews>
  <sheetFormatPr defaultColWidth="10.5703125" defaultRowHeight="15" x14ac:dyDescent="0.25"/>
  <cols>
    <col min="1" max="1" width="14.28515625" customWidth="1"/>
    <col min="2" max="2" width="2.85546875" customWidth="1"/>
    <col min="3" max="3" width="52.140625" customWidth="1"/>
    <col min="4" max="4" width="2.42578125" hidden="1" customWidth="1"/>
    <col min="5" max="7" width="2.5703125" hidden="1" customWidth="1"/>
  </cols>
  <sheetData>
    <row r="1" spans="1:10" ht="15.4" customHeight="1" x14ac:dyDescent="0.25">
      <c r="A1" s="550" t="s">
        <v>1204</v>
      </c>
      <c r="B1" s="523" t="s">
        <v>1205</v>
      </c>
      <c r="C1" s="523"/>
      <c r="D1" s="523"/>
      <c r="E1" s="523"/>
      <c r="F1" s="523"/>
      <c r="G1" s="523"/>
      <c r="H1" s="551"/>
      <c r="J1" s="4"/>
    </row>
    <row r="2" spans="1:10" ht="15.4" hidden="1" customHeight="1" x14ac:dyDescent="0.25">
      <c r="A2" s="552"/>
      <c r="B2" s="553"/>
      <c r="C2" s="553"/>
      <c r="D2" s="553"/>
      <c r="E2" s="553"/>
      <c r="F2" s="553"/>
      <c r="G2" s="553"/>
      <c r="H2" s="560"/>
      <c r="J2" s="4"/>
    </row>
    <row r="3" spans="1:10" ht="17.25" hidden="1" customHeight="1" x14ac:dyDescent="0.25">
      <c r="A3" s="552"/>
      <c r="B3" s="553"/>
      <c r="C3" s="553"/>
      <c r="D3" s="553"/>
      <c r="E3" s="553"/>
      <c r="F3" s="553"/>
      <c r="G3" s="553"/>
      <c r="H3" s="560"/>
      <c r="J3" s="566"/>
    </row>
    <row r="4" spans="1:10" ht="15.4" customHeight="1" x14ac:dyDescent="0.25">
      <c r="A4" s="555"/>
      <c r="B4" s="556"/>
      <c r="C4" s="556"/>
      <c r="D4" s="556"/>
      <c r="E4" s="556"/>
      <c r="F4" s="556"/>
      <c r="G4" s="567"/>
      <c r="H4" s="381" t="s">
        <v>717</v>
      </c>
    </row>
    <row r="5" spans="1:10" s="4" customFormat="1" ht="12.4" customHeight="1" x14ac:dyDescent="0.2">
      <c r="A5" s="561"/>
      <c r="B5" s="558" t="s">
        <v>1206</v>
      </c>
      <c r="C5" s="562"/>
      <c r="D5" s="562"/>
      <c r="E5" s="562"/>
      <c r="F5" s="562"/>
      <c r="G5" s="568"/>
      <c r="H5" s="569"/>
    </row>
    <row r="6" spans="1:10" s="4" customFormat="1" ht="12.4" customHeight="1" x14ac:dyDescent="0.2">
      <c r="A6" s="345" t="s">
        <v>723</v>
      </c>
      <c r="B6" s="469" t="s">
        <v>1207</v>
      </c>
      <c r="C6" s="469"/>
      <c r="D6" s="469"/>
      <c r="E6" s="499"/>
      <c r="F6" s="499"/>
      <c r="G6" s="17"/>
      <c r="H6" s="541">
        <v>0</v>
      </c>
    </row>
    <row r="7" spans="1:10" s="4" customFormat="1" ht="12.4" customHeight="1" x14ac:dyDescent="0.2">
      <c r="A7" s="345" t="s">
        <v>725</v>
      </c>
      <c r="B7" s="469" t="s">
        <v>1208</v>
      </c>
      <c r="C7" s="469"/>
      <c r="D7" s="469"/>
      <c r="E7" s="499"/>
      <c r="F7" s="499"/>
      <c r="G7" s="17"/>
      <c r="H7" s="541">
        <v>0</v>
      </c>
    </row>
    <row r="8" spans="1:10" s="4" customFormat="1" ht="12.4" customHeight="1" x14ac:dyDescent="0.2">
      <c r="A8" s="345" t="s">
        <v>727</v>
      </c>
      <c r="B8" s="469" t="s">
        <v>1209</v>
      </c>
      <c r="C8" s="469"/>
      <c r="D8" s="469"/>
      <c r="E8" s="499"/>
      <c r="F8" s="499"/>
      <c r="G8" s="17"/>
      <c r="H8" s="541">
        <v>0</v>
      </c>
    </row>
    <row r="9" spans="1:10" s="4" customFormat="1" ht="12.4" customHeight="1" x14ac:dyDescent="0.2">
      <c r="A9" s="345" t="s">
        <v>729</v>
      </c>
      <c r="B9" s="469" t="s">
        <v>1164</v>
      </c>
      <c r="C9" s="469"/>
      <c r="D9" s="469"/>
      <c r="E9" s="499"/>
      <c r="F9" s="499"/>
      <c r="G9" s="17"/>
      <c r="H9" s="541">
        <v>0</v>
      </c>
    </row>
    <row r="10" spans="1:10" s="4" customFormat="1" ht="12.4" customHeight="1" x14ac:dyDescent="0.2">
      <c r="A10" s="345" t="s">
        <v>731</v>
      </c>
      <c r="B10" s="405" t="s">
        <v>1199</v>
      </c>
      <c r="C10" s="390"/>
      <c r="D10" s="390"/>
      <c r="E10" s="390"/>
      <c r="F10" s="390"/>
      <c r="G10" s="418"/>
      <c r="H10" s="447">
        <f>SUM(H6:H9)</f>
        <v>0</v>
      </c>
    </row>
    <row r="11" spans="1:10" x14ac:dyDescent="0.25">
      <c r="A11" s="10"/>
    </row>
  </sheetData>
  <sheetProtection algorithmName="SHA-512" hashValue="HZnF+cMxYcoiz65nQz3JD8ESH6hd7Em8aR0Hmm5YpaeCGAlwHo50CIdcsAz0lUNP2cxj6tCrHNKRZmFF++NGtQ==" saltValue="V3medt4O75pkQZ1EmRHcJg==" spinCount="100000" sheet="1" objects="1"/>
  <dataValidations count="1">
    <dataValidation type="whole" operator="greaterThan" allowBlank="1" showInputMessage="1" showErrorMessage="1" errorTitle="Whole numbers only allowed" error="All monies should be independently rounded to the nearest £1,000." sqref="H6:H9 GC6:GC9 PY6:PY9 ZU6:ZU9 AJQ6:AJQ9 ATM6:ATM9 BDI6:BDI9 BNE6:BNE9 BXA6:BXA9 CGW6:CGW9 CQS6:CQS9 DAO6:DAO9 DKK6:DKK9 DUG6:DUG9 EEC6:EEC9 ENY6:ENY9 EXU6:EXU9 FHQ6:FHQ9 FRM6:FRM9 GBI6:GBI9 GLE6:GLE9 GVA6:GVA9 HEW6:HEW9 HOS6:HOS9 HYO6:HYO9 IIK6:IIK9 ISG6:ISG9 JCC6:JCC9 JLY6:JLY9 JVU6:JVU9 KFQ6:KFQ9 KPM6:KPM9 KZI6:KZI9 LJE6:LJE9 LTA6:LTA9 MCW6:MCW9 MMS6:MMS9 MWO6:MWO9 NGK6:NGK9 NQG6:NQG9 OAC6:OAC9 OJY6:OJY9 OTU6:OTU9 PDQ6:PDQ9 PNM6:PNM9 PXI6:PXI9 QHE6:QHE9 QRA6:QRA9 RAW6:RAW9 RKS6:RKS9 RUO6:RUO9 SEK6:SEK9 SOG6:SOG9 SYC6:SYC9 THY6:THY9 TRU6:TRU9 UBQ6:UBQ9 ULM6:ULM9 UVI6:UVI9 VFE6:VFE9 VPA6:VPA9 VYW6:VYW9 WIS6:WIS9 WSO6:WSO9">
      <formula1>-99999999</formula1>
    </dataValidation>
  </dataValidations>
  <printOptions headings="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O106"/>
  <sheetViews>
    <sheetView tabSelected="1" zoomScale="90" zoomScaleNormal="90" workbookViewId="0">
      <pane ySplit="4" topLeftCell="A13" activePane="bottomLeft" state="frozenSplit"/>
      <selection pane="bottomLeft" activeCell="L24" sqref="L24"/>
    </sheetView>
  </sheetViews>
  <sheetFormatPr defaultColWidth="9.140625" defaultRowHeight="12.75" x14ac:dyDescent="0.2"/>
  <cols>
    <col min="1" max="1" width="10" style="9" bestFit="1" customWidth="1"/>
    <col min="2" max="2" width="3" style="5" customWidth="1"/>
    <col min="3" max="3" width="3.42578125" style="5" customWidth="1"/>
    <col min="4" max="4" width="89.28515625" style="5" customWidth="1"/>
    <col min="5" max="7" width="2.42578125" style="5" hidden="1" customWidth="1"/>
    <col min="8" max="8" width="13.140625" style="5" customWidth="1"/>
    <col min="9" max="9" width="10.85546875" style="5" customWidth="1"/>
    <col min="10" max="10" width="10.42578125" style="5" customWidth="1"/>
    <col min="11" max="11" width="15.28515625" style="5" customWidth="1"/>
    <col min="12" max="12" width="14.85546875" style="5" customWidth="1"/>
    <col min="13" max="13" width="16.42578125" style="5" bestFit="1" customWidth="1"/>
    <col min="14" max="14" width="16.140625" style="45" customWidth="1"/>
    <col min="15" max="15" width="14.85546875" style="5" customWidth="1"/>
    <col min="16" max="16" width="9.140625" style="5" customWidth="1"/>
    <col min="17" max="16384" width="9.140625" style="5"/>
  </cols>
  <sheetData>
    <row r="1" spans="1:15" customFormat="1" ht="15" customHeight="1" x14ac:dyDescent="0.25">
      <c r="A1" s="570" t="s">
        <v>1210</v>
      </c>
      <c r="B1" s="411" t="s">
        <v>1211</v>
      </c>
      <c r="C1" s="411"/>
      <c r="D1" s="411"/>
      <c r="E1" s="411"/>
      <c r="F1" s="411"/>
      <c r="G1" s="411"/>
      <c r="H1" s="732" t="s">
        <v>737</v>
      </c>
      <c r="I1" s="733"/>
      <c r="J1" s="733"/>
      <c r="K1" s="733"/>
      <c r="L1" s="733"/>
      <c r="M1" s="733"/>
      <c r="N1" s="733"/>
      <c r="O1" s="734"/>
    </row>
    <row r="2" spans="1:15" customFormat="1" ht="15" customHeight="1" x14ac:dyDescent="0.25">
      <c r="A2" s="413"/>
      <c r="B2" s="414"/>
      <c r="C2" s="414"/>
      <c r="D2" s="414"/>
      <c r="E2" s="414"/>
      <c r="F2" s="414"/>
      <c r="G2" s="414"/>
      <c r="H2" s="571">
        <v>1</v>
      </c>
      <c r="I2" s="571">
        <v>2</v>
      </c>
      <c r="J2" s="571">
        <v>3</v>
      </c>
      <c r="K2" s="571">
        <v>4</v>
      </c>
      <c r="L2" s="571">
        <v>5</v>
      </c>
      <c r="M2" s="571">
        <v>6</v>
      </c>
      <c r="N2" s="572">
        <v>7</v>
      </c>
      <c r="O2" s="571">
        <v>8</v>
      </c>
    </row>
    <row r="3" spans="1:15" customFormat="1" ht="45" customHeight="1" x14ac:dyDescent="0.25">
      <c r="A3" s="455"/>
      <c r="B3" s="456"/>
      <c r="C3" s="456"/>
      <c r="D3" s="414"/>
      <c r="E3" s="456"/>
      <c r="F3" s="456"/>
      <c r="G3" s="457"/>
      <c r="H3" s="573" t="s">
        <v>1212</v>
      </c>
      <c r="I3" s="573" t="s">
        <v>1213</v>
      </c>
      <c r="J3" s="573" t="s">
        <v>1214</v>
      </c>
      <c r="K3" s="573" t="s">
        <v>741</v>
      </c>
      <c r="L3" s="573" t="s">
        <v>743</v>
      </c>
      <c r="M3" s="573" t="s">
        <v>745</v>
      </c>
      <c r="N3" s="573" t="s">
        <v>747</v>
      </c>
      <c r="O3" s="573" t="s">
        <v>749</v>
      </c>
    </row>
    <row r="4" spans="1:15" customFormat="1" ht="15" customHeight="1" x14ac:dyDescent="0.25">
      <c r="A4" s="574"/>
      <c r="B4" s="575"/>
      <c r="C4" s="575"/>
      <c r="D4" s="575"/>
      <c r="E4" s="575"/>
      <c r="F4" s="575"/>
      <c r="G4" s="576"/>
      <c r="H4" s="463" t="s">
        <v>717</v>
      </c>
      <c r="I4" s="463" t="s">
        <v>717</v>
      </c>
      <c r="J4" s="463" t="s">
        <v>717</v>
      </c>
      <c r="K4" s="463" t="s">
        <v>717</v>
      </c>
      <c r="L4" s="463" t="s">
        <v>717</v>
      </c>
      <c r="M4" s="463" t="s">
        <v>717</v>
      </c>
      <c r="N4" s="463" t="s">
        <v>717</v>
      </c>
      <c r="O4" s="463" t="s">
        <v>717</v>
      </c>
    </row>
    <row r="5" spans="1:15" customFormat="1" ht="12.75" customHeight="1" x14ac:dyDescent="0.25">
      <c r="A5" s="307">
        <v>1</v>
      </c>
      <c r="B5" s="465" t="s">
        <v>982</v>
      </c>
      <c r="C5" s="466"/>
      <c r="D5" s="466"/>
      <c r="E5" s="466"/>
      <c r="F5" s="466"/>
      <c r="G5" s="467"/>
      <c r="H5" s="311"/>
      <c r="I5" s="311"/>
      <c r="J5" s="311"/>
      <c r="K5" s="311"/>
      <c r="L5" s="311"/>
      <c r="M5" s="311"/>
      <c r="N5" s="577"/>
      <c r="O5" s="311"/>
    </row>
    <row r="6" spans="1:15" customFormat="1" ht="12.75" customHeight="1" x14ac:dyDescent="0.25">
      <c r="A6" s="307" t="s">
        <v>723</v>
      </c>
      <c r="B6" s="475"/>
      <c r="C6" s="469" t="s">
        <v>983</v>
      </c>
      <c r="D6" s="470"/>
      <c r="E6" s="470"/>
      <c r="F6" s="470"/>
      <c r="G6" s="471"/>
      <c r="H6" s="317">
        <v>44866</v>
      </c>
      <c r="I6" s="317">
        <v>24019</v>
      </c>
      <c r="J6" s="472">
        <f t="shared" ref="J6:J50" si="0">SUM(H6:I6)</f>
        <v>68885</v>
      </c>
      <c r="K6" s="578" t="s">
        <v>1215</v>
      </c>
      <c r="L6" s="317">
        <v>9918</v>
      </c>
      <c r="M6" s="317">
        <v>1151</v>
      </c>
      <c r="N6" s="578" t="s">
        <v>1215</v>
      </c>
      <c r="O6" s="472">
        <f t="shared" ref="O6:O51" si="1">SUM(J6:M6)</f>
        <v>79954</v>
      </c>
    </row>
    <row r="7" spans="1:15" customFormat="1" ht="12.75" customHeight="1" x14ac:dyDescent="0.25">
      <c r="A7" s="307" t="s">
        <v>725</v>
      </c>
      <c r="B7" s="475"/>
      <c r="C7" s="469" t="s">
        <v>984</v>
      </c>
      <c r="D7" s="470"/>
      <c r="E7" s="470"/>
      <c r="F7" s="470"/>
      <c r="G7" s="471"/>
      <c r="H7" s="317">
        <v>1499</v>
      </c>
      <c r="I7" s="317">
        <v>269</v>
      </c>
      <c r="J7" s="472">
        <f t="shared" si="0"/>
        <v>1768</v>
      </c>
      <c r="K7" s="578" t="s">
        <v>1215</v>
      </c>
      <c r="L7" s="317">
        <v>460</v>
      </c>
      <c r="M7" s="317">
        <v>0</v>
      </c>
      <c r="N7" s="578" t="s">
        <v>1215</v>
      </c>
      <c r="O7" s="472">
        <f t="shared" si="1"/>
        <v>2228</v>
      </c>
    </row>
    <row r="8" spans="1:15" customFormat="1" ht="12.75" customHeight="1" x14ac:dyDescent="0.25">
      <c r="A8" s="307" t="s">
        <v>727</v>
      </c>
      <c r="B8" s="475"/>
      <c r="C8" s="469" t="s">
        <v>985</v>
      </c>
      <c r="D8" s="470"/>
      <c r="E8" s="470"/>
      <c r="F8" s="470"/>
      <c r="G8" s="471"/>
      <c r="H8" s="317">
        <v>1150</v>
      </c>
      <c r="I8" s="317">
        <v>459</v>
      </c>
      <c r="J8" s="472">
        <f t="shared" si="0"/>
        <v>1609</v>
      </c>
      <c r="K8" s="578" t="s">
        <v>1215</v>
      </c>
      <c r="L8" s="317">
        <v>472</v>
      </c>
      <c r="M8" s="317">
        <v>0</v>
      </c>
      <c r="N8" s="578" t="s">
        <v>1215</v>
      </c>
      <c r="O8" s="472">
        <f t="shared" si="1"/>
        <v>2081</v>
      </c>
    </row>
    <row r="9" spans="1:15" customFormat="1" ht="12.75" customHeight="1" x14ac:dyDescent="0.25">
      <c r="A9" s="307" t="s">
        <v>729</v>
      </c>
      <c r="B9" s="475"/>
      <c r="C9" s="469" t="s">
        <v>986</v>
      </c>
      <c r="D9" s="470"/>
      <c r="E9" s="470"/>
      <c r="F9" s="470"/>
      <c r="G9" s="471"/>
      <c r="H9" s="317">
        <v>6773</v>
      </c>
      <c r="I9" s="317">
        <v>1154</v>
      </c>
      <c r="J9" s="472">
        <f t="shared" si="0"/>
        <v>7927</v>
      </c>
      <c r="K9" s="578" t="s">
        <v>1215</v>
      </c>
      <c r="L9" s="317">
        <v>1805</v>
      </c>
      <c r="M9" s="317">
        <v>0</v>
      </c>
      <c r="N9" s="578" t="s">
        <v>1215</v>
      </c>
      <c r="O9" s="472">
        <f t="shared" si="1"/>
        <v>9732</v>
      </c>
    </row>
    <row r="10" spans="1:15" customFormat="1" ht="12.75" customHeight="1" x14ac:dyDescent="0.25">
      <c r="A10" s="307" t="s">
        <v>731</v>
      </c>
      <c r="B10" s="475"/>
      <c r="C10" s="469" t="s">
        <v>987</v>
      </c>
      <c r="D10" s="470"/>
      <c r="E10" s="470"/>
      <c r="F10" s="470"/>
      <c r="G10" s="471"/>
      <c r="H10" s="317">
        <v>0</v>
      </c>
      <c r="I10" s="317">
        <v>0</v>
      </c>
      <c r="J10" s="472">
        <f t="shared" si="0"/>
        <v>0</v>
      </c>
      <c r="K10" s="578" t="s">
        <v>1215</v>
      </c>
      <c r="L10" s="317">
        <v>0</v>
      </c>
      <c r="M10" s="317">
        <v>0</v>
      </c>
      <c r="N10" s="578" t="s">
        <v>1215</v>
      </c>
      <c r="O10" s="472">
        <f t="shared" si="1"/>
        <v>0</v>
      </c>
    </row>
    <row r="11" spans="1:15" customFormat="1" ht="12.75" customHeight="1" x14ac:dyDescent="0.25">
      <c r="A11" s="307" t="s">
        <v>733</v>
      </c>
      <c r="B11" s="475"/>
      <c r="C11" s="469" t="s">
        <v>988</v>
      </c>
      <c r="D11" s="470"/>
      <c r="E11" s="470"/>
      <c r="F11" s="470"/>
      <c r="G11" s="471"/>
      <c r="H11" s="317">
        <v>0</v>
      </c>
      <c r="I11" s="317">
        <v>0</v>
      </c>
      <c r="J11" s="472">
        <f t="shared" si="0"/>
        <v>0</v>
      </c>
      <c r="K11" s="578" t="s">
        <v>1215</v>
      </c>
      <c r="L11" s="317">
        <v>0</v>
      </c>
      <c r="M11" s="317">
        <v>0</v>
      </c>
      <c r="N11" s="578" t="s">
        <v>1215</v>
      </c>
      <c r="O11" s="472">
        <f t="shared" si="1"/>
        <v>0</v>
      </c>
    </row>
    <row r="12" spans="1:15" customFormat="1" ht="12.75" customHeight="1" x14ac:dyDescent="0.25">
      <c r="A12" s="307" t="s">
        <v>735</v>
      </c>
      <c r="B12" s="475"/>
      <c r="C12" s="469" t="s">
        <v>989</v>
      </c>
      <c r="D12" s="470"/>
      <c r="E12" s="470"/>
      <c r="F12" s="470"/>
      <c r="G12" s="471"/>
      <c r="H12" s="317">
        <v>0</v>
      </c>
      <c r="I12" s="317">
        <v>0</v>
      </c>
      <c r="J12" s="472">
        <f t="shared" si="0"/>
        <v>0</v>
      </c>
      <c r="K12" s="578" t="s">
        <v>1215</v>
      </c>
      <c r="L12" s="317">
        <v>0</v>
      </c>
      <c r="M12" s="317">
        <v>0</v>
      </c>
      <c r="N12" s="578" t="s">
        <v>1215</v>
      </c>
      <c r="O12" s="472">
        <f t="shared" si="1"/>
        <v>0</v>
      </c>
    </row>
    <row r="13" spans="1:15" customFormat="1" ht="12.75" customHeight="1" x14ac:dyDescent="0.25">
      <c r="A13" s="307" t="s">
        <v>799</v>
      </c>
      <c r="B13" s="475"/>
      <c r="C13" s="469" t="s">
        <v>990</v>
      </c>
      <c r="D13" s="470"/>
      <c r="E13" s="470"/>
      <c r="F13" s="470"/>
      <c r="G13" s="471"/>
      <c r="H13" s="317">
        <v>0</v>
      </c>
      <c r="I13" s="317">
        <v>0</v>
      </c>
      <c r="J13" s="472">
        <f t="shared" si="0"/>
        <v>0</v>
      </c>
      <c r="K13" s="578" t="s">
        <v>1215</v>
      </c>
      <c r="L13" s="317">
        <v>0</v>
      </c>
      <c r="M13" s="317">
        <v>0</v>
      </c>
      <c r="N13" s="578" t="s">
        <v>1215</v>
      </c>
      <c r="O13" s="472">
        <f t="shared" si="1"/>
        <v>0</v>
      </c>
    </row>
    <row r="14" spans="1:15" customFormat="1" ht="12.75" customHeight="1" x14ac:dyDescent="0.25">
      <c r="A14" s="307" t="s">
        <v>306</v>
      </c>
      <c r="B14" s="475"/>
      <c r="C14" s="469" t="s">
        <v>991</v>
      </c>
      <c r="D14" s="470"/>
      <c r="E14" s="470"/>
      <c r="F14" s="470"/>
      <c r="G14" s="471"/>
      <c r="H14" s="317">
        <v>14741</v>
      </c>
      <c r="I14" s="317">
        <v>14440</v>
      </c>
      <c r="J14" s="472">
        <f t="shared" si="0"/>
        <v>29181</v>
      </c>
      <c r="K14" s="578" t="s">
        <v>1215</v>
      </c>
      <c r="L14" s="317">
        <v>8824</v>
      </c>
      <c r="M14" s="317">
        <v>896</v>
      </c>
      <c r="N14" s="578" t="s">
        <v>1215</v>
      </c>
      <c r="O14" s="472">
        <f t="shared" si="1"/>
        <v>38901</v>
      </c>
    </row>
    <row r="15" spans="1:15" customFormat="1" ht="12.75" customHeight="1" x14ac:dyDescent="0.25">
      <c r="A15" s="307" t="s">
        <v>308</v>
      </c>
      <c r="B15" s="475"/>
      <c r="C15" s="469" t="s">
        <v>992</v>
      </c>
      <c r="D15" s="470"/>
      <c r="E15" s="470"/>
      <c r="F15" s="470"/>
      <c r="G15" s="471"/>
      <c r="H15" s="317">
        <v>0</v>
      </c>
      <c r="I15" s="317">
        <v>0</v>
      </c>
      <c r="J15" s="472">
        <f t="shared" si="0"/>
        <v>0</v>
      </c>
      <c r="K15" s="578" t="s">
        <v>1215</v>
      </c>
      <c r="L15" s="317">
        <v>0</v>
      </c>
      <c r="M15" s="317">
        <v>0</v>
      </c>
      <c r="N15" s="578" t="s">
        <v>1215</v>
      </c>
      <c r="O15" s="472">
        <f t="shared" si="1"/>
        <v>0</v>
      </c>
    </row>
    <row r="16" spans="1:15" customFormat="1" ht="12.75" customHeight="1" x14ac:dyDescent="0.25">
      <c r="A16" s="307" t="s">
        <v>803</v>
      </c>
      <c r="B16" s="475"/>
      <c r="C16" s="469" t="s">
        <v>993</v>
      </c>
      <c r="D16" s="470"/>
      <c r="E16" s="470"/>
      <c r="F16" s="470"/>
      <c r="G16" s="471"/>
      <c r="H16" s="317">
        <v>7576</v>
      </c>
      <c r="I16" s="317">
        <v>3368</v>
      </c>
      <c r="J16" s="472">
        <f t="shared" si="0"/>
        <v>10944</v>
      </c>
      <c r="K16" s="578" t="s">
        <v>1215</v>
      </c>
      <c r="L16" s="317">
        <v>3492</v>
      </c>
      <c r="M16" s="317">
        <v>124</v>
      </c>
      <c r="N16" s="578" t="s">
        <v>1215</v>
      </c>
      <c r="O16" s="472">
        <f t="shared" si="1"/>
        <v>14560</v>
      </c>
    </row>
    <row r="17" spans="1:15" customFormat="1" ht="12.75" customHeight="1" x14ac:dyDescent="0.25">
      <c r="A17" s="307" t="s">
        <v>994</v>
      </c>
      <c r="B17" s="475"/>
      <c r="C17" s="469" t="s">
        <v>995</v>
      </c>
      <c r="D17" s="470"/>
      <c r="E17" s="470"/>
      <c r="F17" s="470"/>
      <c r="G17" s="471"/>
      <c r="H17" s="317">
        <v>19531</v>
      </c>
      <c r="I17" s="317">
        <v>10250</v>
      </c>
      <c r="J17" s="472">
        <f t="shared" si="0"/>
        <v>29781</v>
      </c>
      <c r="K17" s="578" t="s">
        <v>1215</v>
      </c>
      <c r="L17" s="317">
        <v>7518</v>
      </c>
      <c r="M17" s="317">
        <v>511</v>
      </c>
      <c r="N17" s="578" t="s">
        <v>1215</v>
      </c>
      <c r="O17" s="472">
        <f t="shared" si="1"/>
        <v>37810</v>
      </c>
    </row>
    <row r="18" spans="1:15" customFormat="1" ht="12.75" customHeight="1" x14ac:dyDescent="0.25">
      <c r="A18" s="307" t="s">
        <v>996</v>
      </c>
      <c r="B18" s="475"/>
      <c r="C18" s="469" t="s">
        <v>997</v>
      </c>
      <c r="D18" s="470"/>
      <c r="E18" s="470"/>
      <c r="F18" s="470"/>
      <c r="G18" s="471"/>
      <c r="H18" s="317">
        <v>4158</v>
      </c>
      <c r="I18" s="317">
        <v>2612</v>
      </c>
      <c r="J18" s="472">
        <f t="shared" si="0"/>
        <v>6770</v>
      </c>
      <c r="K18" s="578" t="s">
        <v>1215</v>
      </c>
      <c r="L18" s="317">
        <v>3660</v>
      </c>
      <c r="M18" s="317">
        <v>76</v>
      </c>
      <c r="N18" s="578" t="s">
        <v>1215</v>
      </c>
      <c r="O18" s="472">
        <f t="shared" si="1"/>
        <v>10506</v>
      </c>
    </row>
    <row r="19" spans="1:15" customFormat="1" ht="12.75" customHeight="1" x14ac:dyDescent="0.25">
      <c r="A19" s="307" t="s">
        <v>998</v>
      </c>
      <c r="B19" s="475"/>
      <c r="C19" s="469" t="s">
        <v>999</v>
      </c>
      <c r="D19" s="470"/>
      <c r="E19" s="470"/>
      <c r="F19" s="470"/>
      <c r="G19" s="471"/>
      <c r="H19" s="317">
        <v>6879</v>
      </c>
      <c r="I19" s="317">
        <v>5714</v>
      </c>
      <c r="J19" s="472">
        <f t="shared" si="0"/>
        <v>12593</v>
      </c>
      <c r="K19" s="578" t="s">
        <v>1215</v>
      </c>
      <c r="L19" s="317">
        <v>5341</v>
      </c>
      <c r="M19" s="317">
        <v>310</v>
      </c>
      <c r="N19" s="578" t="s">
        <v>1215</v>
      </c>
      <c r="O19" s="472">
        <f t="shared" si="1"/>
        <v>18244</v>
      </c>
    </row>
    <row r="20" spans="1:15" customFormat="1" ht="12.75" customHeight="1" x14ac:dyDescent="0.25">
      <c r="A20" s="307" t="s">
        <v>1000</v>
      </c>
      <c r="B20" s="475"/>
      <c r="C20" s="469" t="s">
        <v>1001</v>
      </c>
      <c r="D20" s="470"/>
      <c r="E20" s="470"/>
      <c r="F20" s="470"/>
      <c r="G20" s="471"/>
      <c r="H20" s="317">
        <v>0</v>
      </c>
      <c r="I20" s="317">
        <v>0</v>
      </c>
      <c r="J20" s="472">
        <f t="shared" si="0"/>
        <v>0</v>
      </c>
      <c r="K20" s="578" t="s">
        <v>1215</v>
      </c>
      <c r="L20" s="317">
        <v>12</v>
      </c>
      <c r="M20" s="317">
        <v>0</v>
      </c>
      <c r="N20" s="578" t="s">
        <v>1215</v>
      </c>
      <c r="O20" s="472">
        <f t="shared" si="1"/>
        <v>12</v>
      </c>
    </row>
    <row r="21" spans="1:15" customFormat="1" ht="12.75" customHeight="1" x14ac:dyDescent="0.25">
      <c r="A21" s="307" t="s">
        <v>1002</v>
      </c>
      <c r="B21" s="475"/>
      <c r="C21" s="469" t="s">
        <v>1003</v>
      </c>
      <c r="D21" s="470"/>
      <c r="E21" s="470"/>
      <c r="F21" s="470"/>
      <c r="G21" s="471"/>
      <c r="H21" s="317">
        <v>1683</v>
      </c>
      <c r="I21" s="317">
        <v>655</v>
      </c>
      <c r="J21" s="472">
        <f t="shared" si="0"/>
        <v>2338</v>
      </c>
      <c r="K21" s="578" t="s">
        <v>1215</v>
      </c>
      <c r="L21" s="317">
        <v>1244</v>
      </c>
      <c r="M21" s="317">
        <v>0</v>
      </c>
      <c r="N21" s="578" t="s">
        <v>1215</v>
      </c>
      <c r="O21" s="472">
        <f t="shared" si="1"/>
        <v>3582</v>
      </c>
    </row>
    <row r="22" spans="1:15" customFormat="1" ht="12.75" customHeight="1" x14ac:dyDescent="0.25">
      <c r="A22" s="307" t="s">
        <v>1004</v>
      </c>
      <c r="B22" s="475"/>
      <c r="C22" s="469" t="s">
        <v>1005</v>
      </c>
      <c r="D22" s="470"/>
      <c r="E22" s="470"/>
      <c r="F22" s="470"/>
      <c r="G22" s="471"/>
      <c r="H22" s="317">
        <v>0</v>
      </c>
      <c r="I22" s="317">
        <v>0</v>
      </c>
      <c r="J22" s="472">
        <f t="shared" si="0"/>
        <v>0</v>
      </c>
      <c r="K22" s="578" t="s">
        <v>1215</v>
      </c>
      <c r="L22" s="317">
        <v>0</v>
      </c>
      <c r="M22" s="317">
        <v>0</v>
      </c>
      <c r="N22" s="578" t="s">
        <v>1215</v>
      </c>
      <c r="O22" s="472">
        <f t="shared" si="1"/>
        <v>0</v>
      </c>
    </row>
    <row r="23" spans="1:15" customFormat="1" ht="12.75" customHeight="1" x14ac:dyDescent="0.25">
      <c r="A23" s="307" t="s">
        <v>1006</v>
      </c>
      <c r="B23" s="475"/>
      <c r="C23" s="469" t="s">
        <v>1007</v>
      </c>
      <c r="D23" s="470"/>
      <c r="E23" s="470"/>
      <c r="F23" s="470"/>
      <c r="G23" s="471"/>
      <c r="H23" s="317">
        <v>3041</v>
      </c>
      <c r="I23" s="317">
        <v>1721</v>
      </c>
      <c r="J23" s="472">
        <f t="shared" si="0"/>
        <v>4762</v>
      </c>
      <c r="K23" s="578" t="s">
        <v>1215</v>
      </c>
      <c r="L23" s="317">
        <v>2207</v>
      </c>
      <c r="M23" s="317">
        <v>696</v>
      </c>
      <c r="N23" s="578" t="s">
        <v>1215</v>
      </c>
      <c r="O23" s="472">
        <f t="shared" si="1"/>
        <v>7665</v>
      </c>
    </row>
    <row r="24" spans="1:15" customFormat="1" ht="12.75" customHeight="1" x14ac:dyDescent="0.25">
      <c r="A24" s="307" t="s">
        <v>1008</v>
      </c>
      <c r="B24" s="475"/>
      <c r="C24" s="469" t="s">
        <v>1009</v>
      </c>
      <c r="D24" s="470"/>
      <c r="E24" s="470"/>
      <c r="F24" s="470"/>
      <c r="G24" s="471"/>
      <c r="H24" s="317">
        <v>3620</v>
      </c>
      <c r="I24" s="317">
        <v>1370</v>
      </c>
      <c r="J24" s="472">
        <f t="shared" si="0"/>
        <v>4990</v>
      </c>
      <c r="K24" s="578" t="s">
        <v>1215</v>
      </c>
      <c r="L24" s="317">
        <v>2690</v>
      </c>
      <c r="M24" s="317">
        <v>0</v>
      </c>
      <c r="N24" s="578" t="s">
        <v>1215</v>
      </c>
      <c r="O24" s="472">
        <f t="shared" si="1"/>
        <v>7680</v>
      </c>
    </row>
    <row r="25" spans="1:15" customFormat="1" ht="12.75" customHeight="1" x14ac:dyDescent="0.25">
      <c r="A25" s="307" t="s">
        <v>1010</v>
      </c>
      <c r="B25" s="475"/>
      <c r="C25" s="469" t="s">
        <v>1011</v>
      </c>
      <c r="D25" s="470"/>
      <c r="E25" s="470"/>
      <c r="F25" s="470"/>
      <c r="G25" s="471"/>
      <c r="H25" s="317">
        <v>2586</v>
      </c>
      <c r="I25" s="317">
        <v>982</v>
      </c>
      <c r="J25" s="472">
        <f t="shared" si="0"/>
        <v>3568</v>
      </c>
      <c r="K25" s="578" t="s">
        <v>1215</v>
      </c>
      <c r="L25" s="317">
        <v>800</v>
      </c>
      <c r="M25" s="317">
        <v>0</v>
      </c>
      <c r="N25" s="578" t="s">
        <v>1215</v>
      </c>
      <c r="O25" s="472">
        <f t="shared" si="1"/>
        <v>4368</v>
      </c>
    </row>
    <row r="26" spans="1:15" customFormat="1" ht="12.75" customHeight="1" x14ac:dyDescent="0.25">
      <c r="A26" s="307" t="s">
        <v>1012</v>
      </c>
      <c r="B26" s="475"/>
      <c r="C26" s="469" t="s">
        <v>1013</v>
      </c>
      <c r="D26" s="470"/>
      <c r="E26" s="470"/>
      <c r="F26" s="470"/>
      <c r="G26" s="471"/>
      <c r="H26" s="317">
        <v>8436</v>
      </c>
      <c r="I26" s="317">
        <v>7505</v>
      </c>
      <c r="J26" s="472">
        <f t="shared" si="0"/>
        <v>15941</v>
      </c>
      <c r="K26" s="578" t="s">
        <v>1215</v>
      </c>
      <c r="L26" s="317">
        <v>8346</v>
      </c>
      <c r="M26" s="317">
        <v>928</v>
      </c>
      <c r="N26" s="578" t="s">
        <v>1215</v>
      </c>
      <c r="O26" s="472">
        <f t="shared" si="1"/>
        <v>25215</v>
      </c>
    </row>
    <row r="27" spans="1:15" customFormat="1" ht="12.75" customHeight="1" x14ac:dyDescent="0.25">
      <c r="A27" s="307" t="s">
        <v>1014</v>
      </c>
      <c r="B27" s="475"/>
      <c r="C27" s="469" t="s">
        <v>1015</v>
      </c>
      <c r="D27" s="470"/>
      <c r="E27" s="470"/>
      <c r="F27" s="470"/>
      <c r="G27" s="471"/>
      <c r="H27" s="317">
        <v>7063</v>
      </c>
      <c r="I27" s="317">
        <v>1887</v>
      </c>
      <c r="J27" s="472">
        <f t="shared" si="0"/>
        <v>8950</v>
      </c>
      <c r="K27" s="578" t="s">
        <v>1215</v>
      </c>
      <c r="L27" s="317">
        <v>3946</v>
      </c>
      <c r="M27" s="317">
        <v>60</v>
      </c>
      <c r="N27" s="578" t="s">
        <v>1215</v>
      </c>
      <c r="O27" s="472">
        <f t="shared" si="1"/>
        <v>12956</v>
      </c>
    </row>
    <row r="28" spans="1:15" customFormat="1" ht="12.75" customHeight="1" x14ac:dyDescent="0.25">
      <c r="A28" s="307" t="s">
        <v>1016</v>
      </c>
      <c r="B28" s="475"/>
      <c r="C28" s="469" t="s">
        <v>1017</v>
      </c>
      <c r="D28" s="470"/>
      <c r="E28" s="470"/>
      <c r="F28" s="470"/>
      <c r="G28" s="471"/>
      <c r="H28" s="317">
        <v>4278</v>
      </c>
      <c r="I28" s="317">
        <v>336</v>
      </c>
      <c r="J28" s="472">
        <f t="shared" si="0"/>
        <v>4614</v>
      </c>
      <c r="K28" s="578" t="s">
        <v>1215</v>
      </c>
      <c r="L28" s="317">
        <v>1361</v>
      </c>
      <c r="M28" s="317">
        <v>0</v>
      </c>
      <c r="N28" s="578" t="s">
        <v>1215</v>
      </c>
      <c r="O28" s="472">
        <f t="shared" si="1"/>
        <v>5975</v>
      </c>
    </row>
    <row r="29" spans="1:15" customFormat="1" ht="12.75" customHeight="1" x14ac:dyDescent="0.25">
      <c r="A29" s="307" t="s">
        <v>1018</v>
      </c>
      <c r="B29" s="475"/>
      <c r="C29" s="469" t="s">
        <v>1019</v>
      </c>
      <c r="D29" s="470"/>
      <c r="E29" s="470"/>
      <c r="F29" s="470"/>
      <c r="G29" s="471"/>
      <c r="H29" s="317">
        <v>2569</v>
      </c>
      <c r="I29" s="317">
        <v>77</v>
      </c>
      <c r="J29" s="472">
        <f t="shared" si="0"/>
        <v>2646</v>
      </c>
      <c r="K29" s="578" t="s">
        <v>1215</v>
      </c>
      <c r="L29" s="317">
        <v>504</v>
      </c>
      <c r="M29" s="317">
        <v>0</v>
      </c>
      <c r="N29" s="578" t="s">
        <v>1215</v>
      </c>
      <c r="O29" s="472">
        <f t="shared" si="1"/>
        <v>3150</v>
      </c>
    </row>
    <row r="30" spans="1:15" customFormat="1" ht="12.75" customHeight="1" x14ac:dyDescent="0.25">
      <c r="A30" s="307" t="s">
        <v>1020</v>
      </c>
      <c r="B30" s="475"/>
      <c r="C30" s="469" t="s">
        <v>1021</v>
      </c>
      <c r="D30" s="470"/>
      <c r="E30" s="470"/>
      <c r="F30" s="470"/>
      <c r="G30" s="471"/>
      <c r="H30" s="317">
        <v>3878</v>
      </c>
      <c r="I30" s="317">
        <v>847</v>
      </c>
      <c r="J30" s="472">
        <f t="shared" si="0"/>
        <v>4725</v>
      </c>
      <c r="K30" s="578" t="s">
        <v>1215</v>
      </c>
      <c r="L30" s="317">
        <v>614</v>
      </c>
      <c r="M30" s="317">
        <v>0</v>
      </c>
      <c r="N30" s="578" t="s">
        <v>1215</v>
      </c>
      <c r="O30" s="472">
        <f t="shared" si="1"/>
        <v>5339</v>
      </c>
    </row>
    <row r="31" spans="1:15" customFormat="1" ht="12.75" customHeight="1" x14ac:dyDescent="0.25">
      <c r="A31" s="307" t="s">
        <v>1022</v>
      </c>
      <c r="B31" s="475"/>
      <c r="C31" s="469" t="s">
        <v>1023</v>
      </c>
      <c r="D31" s="470"/>
      <c r="E31" s="470"/>
      <c r="F31" s="470"/>
      <c r="G31" s="471"/>
      <c r="H31" s="317">
        <v>984</v>
      </c>
      <c r="I31" s="317">
        <v>166</v>
      </c>
      <c r="J31" s="472">
        <f t="shared" si="0"/>
        <v>1150</v>
      </c>
      <c r="K31" s="578" t="s">
        <v>1215</v>
      </c>
      <c r="L31" s="317">
        <v>159</v>
      </c>
      <c r="M31" s="317">
        <v>0</v>
      </c>
      <c r="N31" s="578" t="s">
        <v>1215</v>
      </c>
      <c r="O31" s="472">
        <f t="shared" si="1"/>
        <v>1309</v>
      </c>
    </row>
    <row r="32" spans="1:15" customFormat="1" ht="12.75" customHeight="1" x14ac:dyDescent="0.25">
      <c r="A32" s="307" t="s">
        <v>1024</v>
      </c>
      <c r="B32" s="475"/>
      <c r="C32" s="469" t="s">
        <v>1025</v>
      </c>
      <c r="D32" s="470"/>
      <c r="E32" s="470"/>
      <c r="F32" s="470"/>
      <c r="G32" s="471"/>
      <c r="H32" s="317">
        <v>2719</v>
      </c>
      <c r="I32" s="317">
        <v>784</v>
      </c>
      <c r="J32" s="472">
        <f t="shared" si="0"/>
        <v>3503</v>
      </c>
      <c r="K32" s="578" t="s">
        <v>1215</v>
      </c>
      <c r="L32" s="317">
        <v>484</v>
      </c>
      <c r="M32" s="317">
        <v>0</v>
      </c>
      <c r="N32" s="578" t="s">
        <v>1215</v>
      </c>
      <c r="O32" s="472">
        <f t="shared" si="1"/>
        <v>3987</v>
      </c>
    </row>
    <row r="33" spans="1:15" customFormat="1" ht="12.75" customHeight="1" x14ac:dyDescent="0.25">
      <c r="A33" s="307" t="s">
        <v>1026</v>
      </c>
      <c r="B33" s="475"/>
      <c r="C33" s="469" t="s">
        <v>1027</v>
      </c>
      <c r="D33" s="470"/>
      <c r="E33" s="470"/>
      <c r="F33" s="470"/>
      <c r="G33" s="471"/>
      <c r="H33" s="317">
        <v>4381</v>
      </c>
      <c r="I33" s="317">
        <v>1541</v>
      </c>
      <c r="J33" s="472">
        <f t="shared" si="0"/>
        <v>5922</v>
      </c>
      <c r="K33" s="578" t="s">
        <v>1215</v>
      </c>
      <c r="L33" s="317">
        <v>1181</v>
      </c>
      <c r="M33" s="317">
        <v>0</v>
      </c>
      <c r="N33" s="578" t="s">
        <v>1215</v>
      </c>
      <c r="O33" s="472">
        <f t="shared" si="1"/>
        <v>7103</v>
      </c>
    </row>
    <row r="34" spans="1:15" customFormat="1" ht="12.75" customHeight="1" x14ac:dyDescent="0.25">
      <c r="A34" s="307" t="s">
        <v>1028</v>
      </c>
      <c r="B34" s="475"/>
      <c r="C34" s="469" t="s">
        <v>1029</v>
      </c>
      <c r="D34" s="470"/>
      <c r="E34" s="470"/>
      <c r="F34" s="470"/>
      <c r="G34" s="471"/>
      <c r="H34" s="317">
        <v>3560</v>
      </c>
      <c r="I34" s="317">
        <v>732</v>
      </c>
      <c r="J34" s="472">
        <f t="shared" si="0"/>
        <v>4292</v>
      </c>
      <c r="K34" s="578" t="s">
        <v>1215</v>
      </c>
      <c r="L34" s="317">
        <v>2188</v>
      </c>
      <c r="M34" s="317">
        <v>0</v>
      </c>
      <c r="N34" s="578" t="s">
        <v>1215</v>
      </c>
      <c r="O34" s="472">
        <f t="shared" si="1"/>
        <v>6480</v>
      </c>
    </row>
    <row r="35" spans="1:15" customFormat="1" ht="12.75" customHeight="1" x14ac:dyDescent="0.25">
      <c r="A35" s="307" t="s">
        <v>1030</v>
      </c>
      <c r="B35" s="475"/>
      <c r="C35" s="469" t="s">
        <v>1031</v>
      </c>
      <c r="D35" s="470"/>
      <c r="E35" s="470"/>
      <c r="F35" s="470"/>
      <c r="G35" s="471"/>
      <c r="H35" s="317">
        <v>7717</v>
      </c>
      <c r="I35" s="317">
        <v>2075</v>
      </c>
      <c r="J35" s="472">
        <f t="shared" si="0"/>
        <v>9792</v>
      </c>
      <c r="K35" s="578" t="s">
        <v>1215</v>
      </c>
      <c r="L35" s="317">
        <v>1558</v>
      </c>
      <c r="M35" s="317">
        <v>396</v>
      </c>
      <c r="N35" s="578" t="s">
        <v>1215</v>
      </c>
      <c r="O35" s="472">
        <f t="shared" si="1"/>
        <v>11746</v>
      </c>
    </row>
    <row r="36" spans="1:15" customFormat="1" ht="12.75" customHeight="1" x14ac:dyDescent="0.25">
      <c r="A36" s="307" t="s">
        <v>1032</v>
      </c>
      <c r="B36" s="475"/>
      <c r="C36" s="469" t="s">
        <v>1033</v>
      </c>
      <c r="D36" s="470"/>
      <c r="E36" s="470"/>
      <c r="F36" s="470"/>
      <c r="G36" s="471"/>
      <c r="H36" s="317">
        <v>3215</v>
      </c>
      <c r="I36" s="317">
        <v>910</v>
      </c>
      <c r="J36" s="472">
        <f t="shared" si="0"/>
        <v>4125</v>
      </c>
      <c r="K36" s="578" t="s">
        <v>1215</v>
      </c>
      <c r="L36" s="317">
        <v>736</v>
      </c>
      <c r="M36" s="317">
        <v>0</v>
      </c>
      <c r="N36" s="578" t="s">
        <v>1215</v>
      </c>
      <c r="O36" s="472">
        <f t="shared" si="1"/>
        <v>4861</v>
      </c>
    </row>
    <row r="37" spans="1:15" customFormat="1" ht="12.75" customHeight="1" x14ac:dyDescent="0.25">
      <c r="A37" s="307" t="s">
        <v>1034</v>
      </c>
      <c r="B37" s="475"/>
      <c r="C37" s="469" t="s">
        <v>1035</v>
      </c>
      <c r="D37" s="470"/>
      <c r="E37" s="470"/>
      <c r="F37" s="470"/>
      <c r="G37" s="471"/>
      <c r="H37" s="317">
        <v>5030</v>
      </c>
      <c r="I37" s="317">
        <v>1486</v>
      </c>
      <c r="J37" s="472">
        <f t="shared" si="0"/>
        <v>6516</v>
      </c>
      <c r="K37" s="578" t="s">
        <v>1215</v>
      </c>
      <c r="L37" s="317">
        <v>738</v>
      </c>
      <c r="M37" s="317">
        <v>0</v>
      </c>
      <c r="N37" s="578" t="s">
        <v>1215</v>
      </c>
      <c r="O37" s="472">
        <f t="shared" si="1"/>
        <v>7254</v>
      </c>
    </row>
    <row r="38" spans="1:15" customFormat="1" ht="12.75" customHeight="1" x14ac:dyDescent="0.25">
      <c r="A38" s="307" t="s">
        <v>1036</v>
      </c>
      <c r="B38" s="475"/>
      <c r="C38" s="469" t="s">
        <v>1037</v>
      </c>
      <c r="D38" s="470"/>
      <c r="E38" s="470"/>
      <c r="F38" s="470"/>
      <c r="G38" s="471"/>
      <c r="H38" s="317">
        <v>11515</v>
      </c>
      <c r="I38" s="317">
        <v>5364</v>
      </c>
      <c r="J38" s="472">
        <f t="shared" si="0"/>
        <v>16879</v>
      </c>
      <c r="K38" s="578" t="s">
        <v>1215</v>
      </c>
      <c r="L38" s="317">
        <v>5425</v>
      </c>
      <c r="M38" s="317">
        <v>12</v>
      </c>
      <c r="N38" s="578" t="s">
        <v>1215</v>
      </c>
      <c r="O38" s="472">
        <f t="shared" si="1"/>
        <v>22316</v>
      </c>
    </row>
    <row r="39" spans="1:15" customFormat="1" ht="12.75" customHeight="1" x14ac:dyDescent="0.25">
      <c r="A39" s="307" t="s">
        <v>1038</v>
      </c>
      <c r="B39" s="475"/>
      <c r="C39" s="469" t="s">
        <v>1039</v>
      </c>
      <c r="D39" s="470"/>
      <c r="E39" s="470"/>
      <c r="F39" s="470"/>
      <c r="G39" s="471"/>
      <c r="H39" s="317">
        <v>0</v>
      </c>
      <c r="I39" s="317">
        <v>0</v>
      </c>
      <c r="J39" s="472">
        <f t="shared" si="0"/>
        <v>0</v>
      </c>
      <c r="K39" s="578" t="s">
        <v>1215</v>
      </c>
      <c r="L39" s="317">
        <v>0</v>
      </c>
      <c r="M39" s="317">
        <v>0</v>
      </c>
      <c r="N39" s="578" t="s">
        <v>1215</v>
      </c>
      <c r="O39" s="472">
        <f t="shared" si="1"/>
        <v>0</v>
      </c>
    </row>
    <row r="40" spans="1:15" customFormat="1" ht="12.75" customHeight="1" x14ac:dyDescent="0.25">
      <c r="A40" s="307" t="s">
        <v>1040</v>
      </c>
      <c r="B40" s="475"/>
      <c r="C40" s="469" t="s">
        <v>1041</v>
      </c>
      <c r="D40" s="470"/>
      <c r="E40" s="470"/>
      <c r="F40" s="470"/>
      <c r="G40" s="471"/>
      <c r="H40" s="317">
        <v>12039</v>
      </c>
      <c r="I40" s="317">
        <v>3942</v>
      </c>
      <c r="J40" s="472">
        <f t="shared" si="0"/>
        <v>15981</v>
      </c>
      <c r="K40" s="578" t="s">
        <v>1215</v>
      </c>
      <c r="L40" s="317">
        <v>3332</v>
      </c>
      <c r="M40" s="317">
        <v>74</v>
      </c>
      <c r="N40" s="578" t="s">
        <v>1215</v>
      </c>
      <c r="O40" s="472">
        <f t="shared" si="1"/>
        <v>19387</v>
      </c>
    </row>
    <row r="41" spans="1:15" customFormat="1" ht="12.75" customHeight="1" x14ac:dyDescent="0.25">
      <c r="A41" s="307" t="s">
        <v>1042</v>
      </c>
      <c r="B41" s="475"/>
      <c r="C41" s="469" t="s">
        <v>1043</v>
      </c>
      <c r="D41" s="470"/>
      <c r="E41" s="470"/>
      <c r="F41" s="470"/>
      <c r="G41" s="471"/>
      <c r="H41" s="317">
        <v>3680</v>
      </c>
      <c r="I41" s="317">
        <v>1315</v>
      </c>
      <c r="J41" s="472">
        <f t="shared" si="0"/>
        <v>4995</v>
      </c>
      <c r="K41" s="578" t="s">
        <v>1215</v>
      </c>
      <c r="L41" s="317">
        <v>1212</v>
      </c>
      <c r="M41" s="317">
        <v>0</v>
      </c>
      <c r="N41" s="578" t="s">
        <v>1215</v>
      </c>
      <c r="O41" s="472">
        <f t="shared" si="1"/>
        <v>6207</v>
      </c>
    </row>
    <row r="42" spans="1:15" customFormat="1" ht="12.75" customHeight="1" x14ac:dyDescent="0.25">
      <c r="A42" s="307" t="s">
        <v>1044</v>
      </c>
      <c r="B42" s="475"/>
      <c r="C42" s="469" t="s">
        <v>1045</v>
      </c>
      <c r="D42" s="470"/>
      <c r="E42" s="470"/>
      <c r="F42" s="470"/>
      <c r="G42" s="471"/>
      <c r="H42" s="317">
        <v>8531</v>
      </c>
      <c r="I42" s="317">
        <v>2534</v>
      </c>
      <c r="J42" s="472">
        <f t="shared" si="0"/>
        <v>11065</v>
      </c>
      <c r="K42" s="578" t="s">
        <v>1215</v>
      </c>
      <c r="L42" s="317">
        <v>1812</v>
      </c>
      <c r="M42" s="317">
        <v>31</v>
      </c>
      <c r="N42" s="578" t="s">
        <v>1215</v>
      </c>
      <c r="O42" s="472">
        <f t="shared" si="1"/>
        <v>12908</v>
      </c>
    </row>
    <row r="43" spans="1:15" customFormat="1" ht="12.75" customHeight="1" x14ac:dyDescent="0.25">
      <c r="A43" s="307" t="s">
        <v>1046</v>
      </c>
      <c r="B43" s="475"/>
      <c r="C43" s="469" t="s">
        <v>1047</v>
      </c>
      <c r="D43" s="470"/>
      <c r="E43" s="470"/>
      <c r="F43" s="470"/>
      <c r="G43" s="471"/>
      <c r="H43" s="317">
        <v>3477</v>
      </c>
      <c r="I43" s="317">
        <v>1148</v>
      </c>
      <c r="J43" s="472">
        <f t="shared" si="0"/>
        <v>4625</v>
      </c>
      <c r="K43" s="578" t="s">
        <v>1215</v>
      </c>
      <c r="L43" s="317">
        <v>277</v>
      </c>
      <c r="M43" s="317">
        <v>0</v>
      </c>
      <c r="N43" s="578" t="s">
        <v>1215</v>
      </c>
      <c r="O43" s="472">
        <f t="shared" si="1"/>
        <v>4902</v>
      </c>
    </row>
    <row r="44" spans="1:15" customFormat="1" ht="12.75" customHeight="1" x14ac:dyDescent="0.25">
      <c r="A44" s="307" t="s">
        <v>1048</v>
      </c>
      <c r="B44" s="475"/>
      <c r="C44" s="469" t="s">
        <v>1049</v>
      </c>
      <c r="D44" s="470"/>
      <c r="E44" s="470"/>
      <c r="F44" s="470"/>
      <c r="G44" s="471"/>
      <c r="H44" s="317">
        <v>4610</v>
      </c>
      <c r="I44" s="317">
        <v>1716</v>
      </c>
      <c r="J44" s="472">
        <f t="shared" si="0"/>
        <v>6326</v>
      </c>
      <c r="K44" s="578" t="s">
        <v>1215</v>
      </c>
      <c r="L44" s="317">
        <v>1109</v>
      </c>
      <c r="M44" s="317">
        <v>0</v>
      </c>
      <c r="N44" s="578" t="s">
        <v>1215</v>
      </c>
      <c r="O44" s="472">
        <f t="shared" si="1"/>
        <v>7435</v>
      </c>
    </row>
    <row r="45" spans="1:15" customFormat="1" ht="12.75" customHeight="1" x14ac:dyDescent="0.25">
      <c r="A45" s="307" t="s">
        <v>1050</v>
      </c>
      <c r="B45" s="475"/>
      <c r="C45" s="469" t="s">
        <v>1051</v>
      </c>
      <c r="D45" s="470"/>
      <c r="E45" s="470"/>
      <c r="F45" s="470"/>
      <c r="G45" s="471"/>
      <c r="H45" s="317">
        <v>1852</v>
      </c>
      <c r="I45" s="317">
        <v>575</v>
      </c>
      <c r="J45" s="472">
        <f t="shared" si="0"/>
        <v>2427</v>
      </c>
      <c r="K45" s="578" t="s">
        <v>1215</v>
      </c>
      <c r="L45" s="317">
        <v>280</v>
      </c>
      <c r="M45" s="317">
        <v>0</v>
      </c>
      <c r="N45" s="578" t="s">
        <v>1215</v>
      </c>
      <c r="O45" s="472">
        <f t="shared" si="1"/>
        <v>2707</v>
      </c>
    </row>
    <row r="46" spans="1:15" customFormat="1" ht="12.75" customHeight="1" x14ac:dyDescent="0.25">
      <c r="A46" s="307" t="s">
        <v>1052</v>
      </c>
      <c r="B46" s="475"/>
      <c r="C46" s="469" t="s">
        <v>1053</v>
      </c>
      <c r="D46" s="470"/>
      <c r="E46" s="470"/>
      <c r="F46" s="470"/>
      <c r="G46" s="471"/>
      <c r="H46" s="317">
        <v>2862</v>
      </c>
      <c r="I46" s="317">
        <v>1655</v>
      </c>
      <c r="J46" s="472">
        <f t="shared" si="0"/>
        <v>4517</v>
      </c>
      <c r="K46" s="578" t="s">
        <v>1215</v>
      </c>
      <c r="L46" s="317">
        <v>743</v>
      </c>
      <c r="M46" s="317">
        <v>24</v>
      </c>
      <c r="N46" s="578" t="s">
        <v>1215</v>
      </c>
      <c r="O46" s="472">
        <f t="shared" si="1"/>
        <v>5284</v>
      </c>
    </row>
    <row r="47" spans="1:15" customFormat="1" ht="12.75" customHeight="1" x14ac:dyDescent="0.25">
      <c r="A47" s="307" t="s">
        <v>1054</v>
      </c>
      <c r="B47" s="475"/>
      <c r="C47" s="469" t="s">
        <v>1055</v>
      </c>
      <c r="D47" s="470"/>
      <c r="E47" s="470"/>
      <c r="F47" s="470"/>
      <c r="G47" s="471"/>
      <c r="H47" s="317">
        <v>2525</v>
      </c>
      <c r="I47" s="317">
        <v>498</v>
      </c>
      <c r="J47" s="472">
        <f t="shared" si="0"/>
        <v>3023</v>
      </c>
      <c r="K47" s="578" t="s">
        <v>1215</v>
      </c>
      <c r="L47" s="317">
        <v>876</v>
      </c>
      <c r="M47" s="317">
        <v>0</v>
      </c>
      <c r="N47" s="578" t="s">
        <v>1215</v>
      </c>
      <c r="O47" s="472">
        <f t="shared" si="1"/>
        <v>3899</v>
      </c>
    </row>
    <row r="48" spans="1:15" customFormat="1" ht="12.75" customHeight="1" x14ac:dyDescent="0.25">
      <c r="A48" s="307" t="s">
        <v>1056</v>
      </c>
      <c r="B48" s="475"/>
      <c r="C48" s="469" t="s">
        <v>1057</v>
      </c>
      <c r="D48" s="470"/>
      <c r="E48" s="470"/>
      <c r="F48" s="470"/>
      <c r="G48" s="471"/>
      <c r="H48" s="317">
        <v>7595</v>
      </c>
      <c r="I48" s="317">
        <v>5103</v>
      </c>
      <c r="J48" s="472">
        <f t="shared" si="0"/>
        <v>12698</v>
      </c>
      <c r="K48" s="578" t="s">
        <v>1215</v>
      </c>
      <c r="L48" s="317">
        <v>2361</v>
      </c>
      <c r="M48" s="317">
        <v>19</v>
      </c>
      <c r="N48" s="578" t="s">
        <v>1215</v>
      </c>
      <c r="O48" s="472">
        <f t="shared" si="1"/>
        <v>15078</v>
      </c>
    </row>
    <row r="49" spans="1:15" customFormat="1" ht="12.75" customHeight="1" x14ac:dyDescent="0.25">
      <c r="A49" s="307" t="s">
        <v>1058</v>
      </c>
      <c r="B49" s="475"/>
      <c r="C49" s="469" t="s">
        <v>1059</v>
      </c>
      <c r="D49" s="470"/>
      <c r="E49" s="470"/>
      <c r="F49" s="470"/>
      <c r="G49" s="471"/>
      <c r="H49" s="317">
        <v>1310</v>
      </c>
      <c r="I49" s="317">
        <v>140</v>
      </c>
      <c r="J49" s="472">
        <f t="shared" si="0"/>
        <v>1450</v>
      </c>
      <c r="K49" s="578" t="s">
        <v>1215</v>
      </c>
      <c r="L49" s="317">
        <v>436</v>
      </c>
      <c r="M49" s="317">
        <v>142</v>
      </c>
      <c r="N49" s="578" t="s">
        <v>1215</v>
      </c>
      <c r="O49" s="472">
        <f t="shared" si="1"/>
        <v>2028</v>
      </c>
    </row>
    <row r="50" spans="1:15" customFormat="1" ht="12.75" customHeight="1" x14ac:dyDescent="0.25">
      <c r="A50" s="307" t="s">
        <v>1060</v>
      </c>
      <c r="B50" s="475"/>
      <c r="C50" s="469" t="s">
        <v>1061</v>
      </c>
      <c r="D50" s="470"/>
      <c r="E50" s="470"/>
      <c r="F50" s="470"/>
      <c r="G50" s="471"/>
      <c r="H50" s="317">
        <v>0</v>
      </c>
      <c r="I50" s="317">
        <v>0</v>
      </c>
      <c r="J50" s="472">
        <f t="shared" si="0"/>
        <v>0</v>
      </c>
      <c r="K50" s="578" t="s">
        <v>1215</v>
      </c>
      <c r="L50" s="317">
        <v>0</v>
      </c>
      <c r="M50" s="317">
        <v>0</v>
      </c>
      <c r="N50" s="578" t="s">
        <v>1215</v>
      </c>
      <c r="O50" s="472">
        <f t="shared" si="1"/>
        <v>0</v>
      </c>
    </row>
    <row r="51" spans="1:15" customFormat="1" ht="12.75" customHeight="1" x14ac:dyDescent="0.25">
      <c r="A51" s="307" t="s">
        <v>1062</v>
      </c>
      <c r="B51" s="405" t="s">
        <v>1063</v>
      </c>
      <c r="C51" s="390"/>
      <c r="D51" s="390"/>
      <c r="E51" s="390"/>
      <c r="F51" s="390"/>
      <c r="G51" s="418"/>
      <c r="H51" s="472">
        <f>SUM(H6:H50)</f>
        <v>231929</v>
      </c>
      <c r="I51" s="472">
        <f>SUM(I6:I50)</f>
        <v>109349</v>
      </c>
      <c r="J51" s="472">
        <f>SUM(J6:J50)</f>
        <v>341278</v>
      </c>
      <c r="K51" s="579" t="s">
        <v>1215</v>
      </c>
      <c r="L51" s="472">
        <f>SUM(L6:L50)</f>
        <v>88121</v>
      </c>
      <c r="M51" s="472">
        <f>SUM(M6:M50)</f>
        <v>5450</v>
      </c>
      <c r="N51" s="579" t="s">
        <v>1215</v>
      </c>
      <c r="O51" s="472">
        <f t="shared" si="1"/>
        <v>434849</v>
      </c>
    </row>
    <row r="52" spans="1:15" customFormat="1" ht="12.75" customHeight="1" x14ac:dyDescent="0.25">
      <c r="A52" s="307"/>
      <c r="B52" s="31"/>
      <c r="C52" s="470"/>
      <c r="D52" s="470"/>
      <c r="E52" s="470"/>
      <c r="F52" s="470"/>
      <c r="G52" s="39"/>
      <c r="H52" s="37"/>
      <c r="I52" s="37"/>
      <c r="J52" s="37"/>
      <c r="K52" s="578"/>
      <c r="L52" s="37"/>
      <c r="M52" s="37"/>
      <c r="N52" s="578"/>
      <c r="O52" s="37"/>
    </row>
    <row r="53" spans="1:15" customFormat="1" ht="12.75" customHeight="1" x14ac:dyDescent="0.25">
      <c r="A53" s="307">
        <v>2</v>
      </c>
      <c r="B53" s="468" t="s">
        <v>1064</v>
      </c>
      <c r="C53" s="469"/>
      <c r="D53" s="469"/>
      <c r="E53" s="469"/>
      <c r="F53" s="469"/>
      <c r="G53" s="473"/>
      <c r="H53" s="317">
        <v>0</v>
      </c>
      <c r="I53" s="317">
        <v>31087</v>
      </c>
      <c r="J53" s="472">
        <f>SUM(H53:I53)</f>
        <v>31087</v>
      </c>
      <c r="K53" s="578" t="s">
        <v>1215</v>
      </c>
      <c r="L53" s="317">
        <v>15152</v>
      </c>
      <c r="M53" s="317">
        <v>5125</v>
      </c>
      <c r="N53" s="578" t="s">
        <v>1215</v>
      </c>
      <c r="O53" s="472">
        <f>SUM(J53:M53)</f>
        <v>51364</v>
      </c>
    </row>
    <row r="54" spans="1:15" customFormat="1" ht="12.75" customHeight="1" x14ac:dyDescent="0.25">
      <c r="A54" s="307"/>
      <c r="B54" s="31"/>
      <c r="C54" s="470"/>
      <c r="D54" s="470"/>
      <c r="E54" s="470"/>
      <c r="F54" s="470"/>
      <c r="G54" s="39"/>
      <c r="H54" s="37"/>
      <c r="I54" s="37"/>
      <c r="J54" s="37"/>
      <c r="K54" s="578"/>
      <c r="L54" s="37"/>
      <c r="M54" s="37"/>
      <c r="N54" s="578"/>
      <c r="O54" s="37"/>
    </row>
    <row r="55" spans="1:15" customFormat="1" ht="12.75" customHeight="1" x14ac:dyDescent="0.25">
      <c r="A55" s="307">
        <v>3</v>
      </c>
      <c r="B55" s="465" t="s">
        <v>1065</v>
      </c>
      <c r="C55" s="466"/>
      <c r="D55" s="466"/>
      <c r="E55" s="466"/>
      <c r="F55" s="466"/>
      <c r="G55" s="467"/>
      <c r="H55" s="311"/>
      <c r="I55" s="311"/>
      <c r="J55" s="311"/>
      <c r="K55" s="577"/>
      <c r="L55" s="311"/>
      <c r="M55" s="311"/>
      <c r="N55" s="577"/>
      <c r="O55" s="311"/>
    </row>
    <row r="56" spans="1:15" customFormat="1" ht="12.75" customHeight="1" x14ac:dyDescent="0.25">
      <c r="A56" s="307" t="s">
        <v>816</v>
      </c>
      <c r="B56" s="475"/>
      <c r="C56" s="469" t="s">
        <v>1066</v>
      </c>
      <c r="D56" s="470"/>
      <c r="E56" s="470"/>
      <c r="F56" s="470"/>
      <c r="G56" s="471"/>
      <c r="H56" s="317">
        <v>-502</v>
      </c>
      <c r="I56" s="317">
        <v>37457</v>
      </c>
      <c r="J56" s="472">
        <f>SUM(H56:I56)</f>
        <v>36955</v>
      </c>
      <c r="K56" s="578" t="s">
        <v>1215</v>
      </c>
      <c r="L56" s="317">
        <v>22794</v>
      </c>
      <c r="M56" s="317">
        <v>1797</v>
      </c>
      <c r="N56" s="578" t="s">
        <v>1215</v>
      </c>
      <c r="O56" s="472">
        <f>SUM(J56:M56)</f>
        <v>61546</v>
      </c>
    </row>
    <row r="57" spans="1:15" customFormat="1" ht="12.75" customHeight="1" x14ac:dyDescent="0.25">
      <c r="A57" s="307" t="s">
        <v>818</v>
      </c>
      <c r="B57" s="475"/>
      <c r="C57" s="119" t="s">
        <v>1216</v>
      </c>
      <c r="D57" s="16"/>
      <c r="E57" s="16"/>
      <c r="F57" s="16"/>
      <c r="G57" s="15"/>
      <c r="H57" s="1"/>
      <c r="I57" s="1"/>
      <c r="J57" s="189"/>
      <c r="K57" s="190"/>
      <c r="L57" s="1"/>
      <c r="M57" s="1"/>
      <c r="N57" s="190"/>
      <c r="O57" s="189"/>
    </row>
    <row r="58" spans="1:15" customFormat="1" ht="12.75" customHeight="1" x14ac:dyDescent="0.25">
      <c r="A58" s="307" t="s">
        <v>1084</v>
      </c>
      <c r="B58" s="498"/>
      <c r="C58" s="499"/>
      <c r="D58" s="469" t="s">
        <v>1217</v>
      </c>
      <c r="E58" s="499"/>
      <c r="F58" s="499"/>
      <c r="G58" s="500"/>
      <c r="H58" s="578" t="s">
        <v>1215</v>
      </c>
      <c r="I58" s="578" t="s">
        <v>1215</v>
      </c>
      <c r="J58" s="580" t="s">
        <v>1215</v>
      </c>
      <c r="K58" s="578" t="s">
        <v>1215</v>
      </c>
      <c r="L58" s="317">
        <v>2025</v>
      </c>
      <c r="M58" s="578" t="s">
        <v>1215</v>
      </c>
      <c r="N58" s="578" t="s">
        <v>1215</v>
      </c>
      <c r="O58" s="472">
        <f>L58</f>
        <v>2025</v>
      </c>
    </row>
    <row r="59" spans="1:15" customFormat="1" ht="12.75" customHeight="1" x14ac:dyDescent="0.25">
      <c r="A59" s="307" t="s">
        <v>1086</v>
      </c>
      <c r="B59" s="498"/>
      <c r="C59" s="499"/>
      <c r="D59" s="469" t="s">
        <v>1218</v>
      </c>
      <c r="E59" s="499"/>
      <c r="F59" s="499"/>
      <c r="G59" s="500"/>
      <c r="H59" s="578" t="s">
        <v>1215</v>
      </c>
      <c r="I59" s="578" t="s">
        <v>1215</v>
      </c>
      <c r="J59" s="580" t="s">
        <v>1215</v>
      </c>
      <c r="K59" s="578" t="s">
        <v>1215</v>
      </c>
      <c r="L59" s="317">
        <v>14309</v>
      </c>
      <c r="M59" s="578" t="s">
        <v>1215</v>
      </c>
      <c r="N59" s="578" t="s">
        <v>1215</v>
      </c>
      <c r="O59" s="472">
        <f>L59</f>
        <v>14309</v>
      </c>
    </row>
    <row r="60" spans="1:15" customFormat="1" ht="12.75" customHeight="1" x14ac:dyDescent="0.25">
      <c r="A60" s="307" t="s">
        <v>1088</v>
      </c>
      <c r="B60" s="498"/>
      <c r="C60" s="499"/>
      <c r="D60" s="469" t="s">
        <v>1219</v>
      </c>
      <c r="E60" s="499"/>
      <c r="F60" s="499"/>
      <c r="G60" s="500"/>
      <c r="H60" s="317">
        <v>13</v>
      </c>
      <c r="I60" s="317">
        <v>9905</v>
      </c>
      <c r="J60" s="472">
        <f>SUM(H60:I60)</f>
        <v>9918</v>
      </c>
      <c r="K60" s="578" t="s">
        <v>1215</v>
      </c>
      <c r="L60" s="317">
        <v>23175</v>
      </c>
      <c r="M60" s="317">
        <v>80</v>
      </c>
      <c r="N60" s="578" t="s">
        <v>1215</v>
      </c>
      <c r="O60" s="472">
        <f>SUM(J60:M60)</f>
        <v>33173</v>
      </c>
    </row>
    <row r="61" spans="1:15" customFormat="1" ht="12.75" customHeight="1" x14ac:dyDescent="0.25">
      <c r="A61" s="345" t="s">
        <v>1090</v>
      </c>
      <c r="B61" s="389"/>
      <c r="C61" s="390" t="s">
        <v>1220</v>
      </c>
      <c r="D61" s="391"/>
      <c r="E61" s="391"/>
      <c r="F61" s="391"/>
      <c r="G61" s="392"/>
      <c r="H61" s="447">
        <f>H60</f>
        <v>13</v>
      </c>
      <c r="I61" s="447">
        <f>I60</f>
        <v>9905</v>
      </c>
      <c r="J61" s="447">
        <f>SUM(H61:I61)</f>
        <v>9918</v>
      </c>
      <c r="K61" s="580" t="s">
        <v>1215</v>
      </c>
      <c r="L61" s="447">
        <f>SUM(L58:L60)</f>
        <v>39509</v>
      </c>
      <c r="M61" s="447">
        <f>M60</f>
        <v>80</v>
      </c>
      <c r="N61" s="580" t="s">
        <v>1215</v>
      </c>
      <c r="O61" s="447">
        <f>SUM(J61:M61)</f>
        <v>49507</v>
      </c>
    </row>
    <row r="62" spans="1:15" customFormat="1" ht="12.75" customHeight="1" x14ac:dyDescent="0.25">
      <c r="A62" s="307" t="s">
        <v>820</v>
      </c>
      <c r="B62" s="475"/>
      <c r="C62" s="469" t="s">
        <v>1068</v>
      </c>
      <c r="D62" s="470"/>
      <c r="E62" s="470"/>
      <c r="F62" s="470"/>
      <c r="G62" s="471"/>
      <c r="H62" s="317">
        <v>54</v>
      </c>
      <c r="I62" s="317">
        <v>11080</v>
      </c>
      <c r="J62" s="472">
        <f>SUM(H62:I62)</f>
        <v>11134</v>
      </c>
      <c r="K62" s="578" t="s">
        <v>1215</v>
      </c>
      <c r="L62" s="317">
        <v>15747</v>
      </c>
      <c r="M62" s="317">
        <v>0</v>
      </c>
      <c r="N62" s="578" t="s">
        <v>1215</v>
      </c>
      <c r="O62" s="472">
        <f>SUM(J62:M62)</f>
        <v>26881</v>
      </c>
    </row>
    <row r="63" spans="1:15" customFormat="1" ht="12.75" customHeight="1" x14ac:dyDescent="0.25">
      <c r="A63" s="307" t="s">
        <v>822</v>
      </c>
      <c r="B63" s="405" t="s">
        <v>1069</v>
      </c>
      <c r="C63" s="390"/>
      <c r="D63" s="390"/>
      <c r="E63" s="390"/>
      <c r="F63" s="390"/>
      <c r="G63" s="418"/>
      <c r="H63" s="447">
        <f>H56+H61+H62</f>
        <v>-435</v>
      </c>
      <c r="I63" s="447">
        <f>I56+I61+I62</f>
        <v>58442</v>
      </c>
      <c r="J63" s="447">
        <f>J56+J61+J62</f>
        <v>58007</v>
      </c>
      <c r="K63" s="580" t="s">
        <v>1215</v>
      </c>
      <c r="L63" s="447">
        <f>L56+L61+L62</f>
        <v>78050</v>
      </c>
      <c r="M63" s="447">
        <f>M56+M61+M62</f>
        <v>1877</v>
      </c>
      <c r="N63" s="580" t="s">
        <v>1215</v>
      </c>
      <c r="O63" s="447">
        <f>O56+O61+O62</f>
        <v>137934</v>
      </c>
    </row>
    <row r="64" spans="1:15" customFormat="1" ht="12.75" customHeight="1" x14ac:dyDescent="0.25">
      <c r="A64" s="307"/>
      <c r="B64" s="476"/>
      <c r="C64" s="477"/>
      <c r="D64" s="477"/>
      <c r="E64" s="477"/>
      <c r="F64" s="477"/>
      <c r="G64" s="478"/>
      <c r="H64" s="37"/>
      <c r="I64" s="37"/>
      <c r="J64" s="37"/>
      <c r="K64" s="43"/>
      <c r="L64" s="37"/>
      <c r="M64" s="37"/>
      <c r="N64" s="43"/>
      <c r="O64" s="37"/>
    </row>
    <row r="65" spans="1:15" customFormat="1" ht="12.75" customHeight="1" x14ac:dyDescent="0.25">
      <c r="A65" s="307">
        <v>4</v>
      </c>
      <c r="B65" s="465" t="s">
        <v>1221</v>
      </c>
      <c r="C65" s="466"/>
      <c r="D65" s="466"/>
      <c r="E65" s="466"/>
      <c r="F65" s="466"/>
      <c r="G65" s="467"/>
      <c r="H65" s="311"/>
      <c r="I65" s="311"/>
      <c r="J65" s="311"/>
      <c r="K65" s="577"/>
      <c r="L65" s="311"/>
      <c r="M65" s="311"/>
      <c r="N65" s="577"/>
      <c r="O65" s="311"/>
    </row>
    <row r="66" spans="1:15" customFormat="1" ht="12.75" customHeight="1" x14ac:dyDescent="0.25">
      <c r="A66" s="307" t="s">
        <v>878</v>
      </c>
      <c r="B66" s="475"/>
      <c r="C66" s="469" t="s">
        <v>1222</v>
      </c>
      <c r="D66" s="470"/>
      <c r="E66" s="470"/>
      <c r="F66" s="470"/>
      <c r="G66" s="471"/>
      <c r="H66" s="578" t="s">
        <v>1215</v>
      </c>
      <c r="I66" s="317">
        <v>2081</v>
      </c>
      <c r="J66" s="472">
        <f>I66</f>
        <v>2081</v>
      </c>
      <c r="K66" s="578" t="s">
        <v>1215</v>
      </c>
      <c r="L66" s="317">
        <v>15670</v>
      </c>
      <c r="M66" s="578" t="s">
        <v>1215</v>
      </c>
      <c r="N66" s="317">
        <v>0</v>
      </c>
      <c r="O66" s="472">
        <f>SUM(J66:N66)</f>
        <v>17751</v>
      </c>
    </row>
    <row r="67" spans="1:15" customFormat="1" ht="12.75" customHeight="1" x14ac:dyDescent="0.25">
      <c r="A67" s="307" t="s">
        <v>1114</v>
      </c>
      <c r="B67" s="475"/>
      <c r="C67" s="469" t="s">
        <v>1223</v>
      </c>
      <c r="D67" s="470"/>
      <c r="E67" s="470"/>
      <c r="F67" s="470"/>
      <c r="G67" s="471"/>
      <c r="H67" s="578" t="s">
        <v>1215</v>
      </c>
      <c r="I67" s="317">
        <v>25056</v>
      </c>
      <c r="J67" s="472">
        <f>I67</f>
        <v>25056</v>
      </c>
      <c r="K67" s="44" t="s">
        <v>1215</v>
      </c>
      <c r="L67" s="317">
        <v>33073</v>
      </c>
      <c r="M67" s="317">
        <v>36165</v>
      </c>
      <c r="N67" s="317">
        <v>0</v>
      </c>
      <c r="O67" s="472">
        <f>SUM(J67:N67)</f>
        <v>94294</v>
      </c>
    </row>
    <row r="68" spans="1:15" customFormat="1" ht="12.75" customHeight="1" x14ac:dyDescent="0.25">
      <c r="A68" s="307" t="s">
        <v>1116</v>
      </c>
      <c r="B68" s="405" t="s">
        <v>1224</v>
      </c>
      <c r="C68" s="390"/>
      <c r="D68" s="390"/>
      <c r="E68" s="390"/>
      <c r="F68" s="390"/>
      <c r="G68" s="418"/>
      <c r="H68" s="579" t="s">
        <v>1215</v>
      </c>
      <c r="I68" s="324">
        <f>SUM(I66:I67)</f>
        <v>27137</v>
      </c>
      <c r="J68" s="324">
        <f>SUM(J66:J67)</f>
        <v>27137</v>
      </c>
      <c r="K68" s="324" t="s">
        <v>1215</v>
      </c>
      <c r="L68" s="324">
        <f>SUM(L66:L67)</f>
        <v>48743</v>
      </c>
      <c r="M68" s="324">
        <f>SUM(M67)</f>
        <v>36165</v>
      </c>
      <c r="N68" s="324">
        <f>SUM(N66:N67)</f>
        <v>0</v>
      </c>
      <c r="O68" s="324">
        <f>SUM(J68:N68)</f>
        <v>112045</v>
      </c>
    </row>
    <row r="69" spans="1:15" customFormat="1" ht="12.75" customHeight="1" x14ac:dyDescent="0.25">
      <c r="A69" s="307"/>
      <c r="B69" s="476"/>
      <c r="C69" s="477"/>
      <c r="D69" s="477"/>
      <c r="E69" s="477"/>
      <c r="F69" s="477"/>
      <c r="G69" s="478"/>
      <c r="H69" s="37"/>
      <c r="I69" s="37"/>
      <c r="J69" s="37"/>
      <c r="K69" s="43"/>
      <c r="L69" s="37"/>
      <c r="M69" s="37"/>
      <c r="N69" s="43"/>
      <c r="O69" s="37"/>
    </row>
    <row r="70" spans="1:15" customFormat="1" ht="12.75" customHeight="1" x14ac:dyDescent="0.25">
      <c r="A70" s="307">
        <v>5</v>
      </c>
      <c r="B70" s="465" t="s">
        <v>1225</v>
      </c>
      <c r="C70" s="466"/>
      <c r="D70" s="466"/>
      <c r="E70" s="466"/>
      <c r="F70" s="466"/>
      <c r="G70" s="467"/>
      <c r="H70" s="433"/>
      <c r="I70" s="433"/>
      <c r="J70" s="311"/>
      <c r="K70" s="577"/>
      <c r="L70" s="311"/>
      <c r="M70" s="311"/>
      <c r="N70" s="577"/>
      <c r="O70" s="311"/>
    </row>
    <row r="71" spans="1:15" customFormat="1" ht="12.75" customHeight="1" x14ac:dyDescent="0.25">
      <c r="A71" s="307" t="s">
        <v>1226</v>
      </c>
      <c r="B71" s="498"/>
      <c r="C71" s="469" t="s">
        <v>1155</v>
      </c>
      <c r="D71" s="499"/>
      <c r="E71" s="499"/>
      <c r="F71" s="499"/>
      <c r="G71" s="500"/>
      <c r="H71" s="578" t="s">
        <v>1215</v>
      </c>
      <c r="I71" s="317">
        <v>10757</v>
      </c>
      <c r="J71" s="472">
        <f>I71</f>
        <v>10757</v>
      </c>
      <c r="K71" s="44" t="s">
        <v>1215</v>
      </c>
      <c r="L71" s="317">
        <v>36217</v>
      </c>
      <c r="M71" s="317">
        <v>15</v>
      </c>
      <c r="N71" s="317">
        <v>0</v>
      </c>
      <c r="O71" s="472">
        <f>SUM(J71:N71)</f>
        <v>46989</v>
      </c>
    </row>
    <row r="72" spans="1:15" customFormat="1" ht="12.75" customHeight="1" x14ac:dyDescent="0.25">
      <c r="A72" s="307" t="s">
        <v>1227</v>
      </c>
      <c r="B72" s="498"/>
      <c r="C72" s="469" t="s">
        <v>1228</v>
      </c>
      <c r="D72" s="499"/>
      <c r="E72" s="499"/>
      <c r="F72" s="499"/>
      <c r="G72" s="500"/>
      <c r="H72" s="578" t="s">
        <v>1215</v>
      </c>
      <c r="I72" s="317">
        <v>5751</v>
      </c>
      <c r="J72" s="472">
        <f>I72</f>
        <v>5751</v>
      </c>
      <c r="K72" s="44" t="s">
        <v>1215</v>
      </c>
      <c r="L72" s="317">
        <v>4128</v>
      </c>
      <c r="M72" s="317">
        <v>0</v>
      </c>
      <c r="N72" s="317">
        <v>0</v>
      </c>
      <c r="O72" s="472">
        <f>SUM(J72:N72)</f>
        <v>9879</v>
      </c>
    </row>
    <row r="73" spans="1:15" customFormat="1" ht="12.75" customHeight="1" x14ac:dyDescent="0.25">
      <c r="A73" s="307" t="s">
        <v>1229</v>
      </c>
      <c r="B73" s="405" t="s">
        <v>1230</v>
      </c>
      <c r="C73" s="390"/>
      <c r="D73" s="390"/>
      <c r="E73" s="390"/>
      <c r="F73" s="390"/>
      <c r="G73" s="418"/>
      <c r="H73" s="579" t="s">
        <v>1215</v>
      </c>
      <c r="I73" s="349">
        <f>SUM(I71:I72)</f>
        <v>16508</v>
      </c>
      <c r="J73" s="472">
        <f>SUM(J71:J72)</f>
        <v>16508</v>
      </c>
      <c r="K73" s="324" t="s">
        <v>1215</v>
      </c>
      <c r="L73" s="472">
        <f>SUM(L71:L72)</f>
        <v>40345</v>
      </c>
      <c r="M73" s="472">
        <f>SUM(M71:M72)</f>
        <v>15</v>
      </c>
      <c r="N73" s="324">
        <f>SUM(N71:N72)</f>
        <v>0</v>
      </c>
      <c r="O73" s="472">
        <f>SUM(J73:N73)</f>
        <v>56868</v>
      </c>
    </row>
    <row r="74" spans="1:15" customFormat="1" ht="12.75" customHeight="1" x14ac:dyDescent="0.25">
      <c r="A74" s="307"/>
      <c r="B74" s="476"/>
      <c r="C74" s="477"/>
      <c r="D74" s="477"/>
      <c r="E74" s="477"/>
      <c r="F74" s="477"/>
      <c r="G74" s="478"/>
      <c r="H74" s="37"/>
      <c r="I74" s="37"/>
      <c r="J74" s="37"/>
      <c r="K74" s="43"/>
      <c r="L74" s="37"/>
      <c r="M74" s="37"/>
      <c r="N74" s="43"/>
      <c r="O74" s="37"/>
    </row>
    <row r="75" spans="1:15" customFormat="1" ht="12.75" customHeight="1" x14ac:dyDescent="0.25">
      <c r="A75" s="307">
        <v>6</v>
      </c>
      <c r="B75" s="465" t="s">
        <v>728</v>
      </c>
      <c r="C75" s="466"/>
      <c r="D75" s="466"/>
      <c r="E75" s="466"/>
      <c r="F75" s="466"/>
      <c r="G75" s="467"/>
      <c r="H75" s="433"/>
      <c r="I75" s="433"/>
      <c r="J75" s="311"/>
      <c r="K75" s="577"/>
      <c r="L75" s="311"/>
      <c r="M75" s="311"/>
      <c r="N75" s="577"/>
      <c r="O75" s="311"/>
    </row>
    <row r="76" spans="1:15" customFormat="1" ht="12.75" customHeight="1" x14ac:dyDescent="0.25">
      <c r="A76" s="307" t="s">
        <v>1119</v>
      </c>
      <c r="B76" s="383"/>
      <c r="C76" s="238" t="s">
        <v>1125</v>
      </c>
      <c r="D76" s="239"/>
      <c r="E76" s="239"/>
      <c r="F76" s="239"/>
      <c r="G76" s="239"/>
      <c r="H76" s="37"/>
      <c r="I76" s="581"/>
      <c r="J76" s="581"/>
      <c r="K76" s="578"/>
      <c r="L76" s="581"/>
      <c r="M76" s="581"/>
      <c r="N76" s="578"/>
      <c r="O76" s="1"/>
    </row>
    <row r="77" spans="1:15" customFormat="1" ht="12.75" customHeight="1" x14ac:dyDescent="0.25">
      <c r="A77" s="345" t="s">
        <v>1084</v>
      </c>
      <c r="B77" s="582"/>
      <c r="C77" s="583"/>
      <c r="D77" s="384" t="s">
        <v>1126</v>
      </c>
      <c r="E77" s="583"/>
      <c r="F77" s="583"/>
      <c r="G77" s="584"/>
      <c r="H77" s="317">
        <v>6337</v>
      </c>
      <c r="I77" s="317">
        <v>1479</v>
      </c>
      <c r="J77" s="447">
        <f t="shared" ref="J77:J85" si="2">SUM(H77:I77)</f>
        <v>7816</v>
      </c>
      <c r="K77" s="578" t="s">
        <v>1215</v>
      </c>
      <c r="L77" s="317">
        <v>4548</v>
      </c>
      <c r="M77" s="317">
        <v>1137</v>
      </c>
      <c r="N77" s="578" t="s">
        <v>1215</v>
      </c>
      <c r="O77" s="447">
        <f t="shared" ref="O77:O85" si="3">SUM(J77:M77)</f>
        <v>13501</v>
      </c>
    </row>
    <row r="78" spans="1:15" customFormat="1" ht="12.75" customHeight="1" x14ac:dyDescent="0.25">
      <c r="A78" s="345" t="s">
        <v>1086</v>
      </c>
      <c r="B78" s="582"/>
      <c r="C78" s="583"/>
      <c r="D78" s="384" t="s">
        <v>1127</v>
      </c>
      <c r="E78" s="583"/>
      <c r="F78" s="583"/>
      <c r="G78" s="584"/>
      <c r="H78" s="317">
        <v>10826</v>
      </c>
      <c r="I78" s="317">
        <v>3400</v>
      </c>
      <c r="J78" s="447">
        <f t="shared" si="2"/>
        <v>14226</v>
      </c>
      <c r="K78" s="578" t="s">
        <v>1215</v>
      </c>
      <c r="L78" s="317">
        <v>13481</v>
      </c>
      <c r="M78" s="317">
        <v>1752</v>
      </c>
      <c r="N78" s="578" t="s">
        <v>1215</v>
      </c>
      <c r="O78" s="447">
        <f t="shared" si="3"/>
        <v>29459</v>
      </c>
    </row>
    <row r="79" spans="1:15" customFormat="1" ht="12.75" customHeight="1" x14ac:dyDescent="0.25">
      <c r="A79" s="345" t="s">
        <v>1088</v>
      </c>
      <c r="B79" s="582"/>
      <c r="C79" s="583"/>
      <c r="D79" s="384" t="s">
        <v>1128</v>
      </c>
      <c r="E79" s="583"/>
      <c r="F79" s="583"/>
      <c r="G79" s="584"/>
      <c r="H79" s="317">
        <v>2249</v>
      </c>
      <c r="I79" s="317">
        <v>1316</v>
      </c>
      <c r="J79" s="447">
        <f t="shared" si="2"/>
        <v>3565</v>
      </c>
      <c r="K79" s="578" t="s">
        <v>1215</v>
      </c>
      <c r="L79" s="317">
        <v>3142</v>
      </c>
      <c r="M79" s="317">
        <v>944</v>
      </c>
      <c r="N79" s="578" t="s">
        <v>1215</v>
      </c>
      <c r="O79" s="447">
        <f t="shared" si="3"/>
        <v>7651</v>
      </c>
    </row>
    <row r="80" spans="1:15" customFormat="1" ht="12.75" customHeight="1" x14ac:dyDescent="0.25">
      <c r="A80" s="345" t="s">
        <v>1090</v>
      </c>
      <c r="B80" s="582"/>
      <c r="C80" s="583"/>
      <c r="D80" s="384" t="s">
        <v>1129</v>
      </c>
      <c r="E80" s="583"/>
      <c r="F80" s="583"/>
      <c r="G80" s="584"/>
      <c r="H80" s="317">
        <v>7747</v>
      </c>
      <c r="I80" s="317">
        <v>849</v>
      </c>
      <c r="J80" s="447">
        <f t="shared" si="2"/>
        <v>8596</v>
      </c>
      <c r="K80" s="578" t="s">
        <v>1215</v>
      </c>
      <c r="L80" s="317">
        <v>8369</v>
      </c>
      <c r="M80" s="317">
        <v>2839</v>
      </c>
      <c r="N80" s="578" t="s">
        <v>1215</v>
      </c>
      <c r="O80" s="447">
        <f t="shared" si="3"/>
        <v>19804</v>
      </c>
    </row>
    <row r="81" spans="1:15" customFormat="1" ht="12.75" customHeight="1" x14ac:dyDescent="0.25">
      <c r="A81" s="345" t="s">
        <v>1092</v>
      </c>
      <c r="B81" s="582"/>
      <c r="C81" s="583"/>
      <c r="D81" s="384" t="s">
        <v>1130</v>
      </c>
      <c r="E81" s="583"/>
      <c r="F81" s="583"/>
      <c r="G81" s="584"/>
      <c r="H81" s="317">
        <v>1869</v>
      </c>
      <c r="I81" s="317">
        <v>634</v>
      </c>
      <c r="J81" s="447">
        <f t="shared" si="2"/>
        <v>2503</v>
      </c>
      <c r="K81" s="578" t="s">
        <v>1215</v>
      </c>
      <c r="L81" s="317">
        <v>4191</v>
      </c>
      <c r="M81" s="317">
        <v>0</v>
      </c>
      <c r="N81" s="578" t="s">
        <v>1215</v>
      </c>
      <c r="O81" s="447">
        <f t="shared" si="3"/>
        <v>6694</v>
      </c>
    </row>
    <row r="82" spans="1:15" customFormat="1" ht="12.75" customHeight="1" x14ac:dyDescent="0.25">
      <c r="A82" s="345" t="s">
        <v>1094</v>
      </c>
      <c r="B82" s="582"/>
      <c r="C82" s="583"/>
      <c r="D82" s="384" t="s">
        <v>1131</v>
      </c>
      <c r="E82" s="583"/>
      <c r="F82" s="583"/>
      <c r="G82" s="584"/>
      <c r="H82" s="317">
        <v>346</v>
      </c>
      <c r="I82" s="317">
        <v>178</v>
      </c>
      <c r="J82" s="447">
        <f t="shared" si="2"/>
        <v>524</v>
      </c>
      <c r="K82" s="578" t="s">
        <v>1215</v>
      </c>
      <c r="L82" s="317">
        <v>1089</v>
      </c>
      <c r="M82" s="317">
        <v>0</v>
      </c>
      <c r="N82" s="578" t="s">
        <v>1215</v>
      </c>
      <c r="O82" s="447">
        <f t="shared" si="3"/>
        <v>1613</v>
      </c>
    </row>
    <row r="83" spans="1:15" customFormat="1" ht="12.75" customHeight="1" x14ac:dyDescent="0.25">
      <c r="A83" s="345" t="s">
        <v>1096</v>
      </c>
      <c r="B83" s="582"/>
      <c r="C83" s="583"/>
      <c r="D83" s="384" t="s">
        <v>1132</v>
      </c>
      <c r="E83" s="583"/>
      <c r="F83" s="583"/>
      <c r="G83" s="584"/>
      <c r="H83" s="317">
        <v>2819</v>
      </c>
      <c r="I83" s="317">
        <v>391</v>
      </c>
      <c r="J83" s="447">
        <f t="shared" si="2"/>
        <v>3210</v>
      </c>
      <c r="K83" s="578" t="s">
        <v>1215</v>
      </c>
      <c r="L83" s="317">
        <v>1534</v>
      </c>
      <c r="M83" s="317">
        <v>2037</v>
      </c>
      <c r="N83" s="578" t="s">
        <v>1215</v>
      </c>
      <c r="O83" s="447">
        <f t="shared" si="3"/>
        <v>6781</v>
      </c>
    </row>
    <row r="84" spans="1:15" customFormat="1" ht="12.75" customHeight="1" x14ac:dyDescent="0.25">
      <c r="A84" s="345" t="s">
        <v>1098</v>
      </c>
      <c r="B84" s="582"/>
      <c r="C84" s="583"/>
      <c r="D84" s="384" t="s">
        <v>967</v>
      </c>
      <c r="E84" s="583"/>
      <c r="F84" s="583"/>
      <c r="G84" s="584"/>
      <c r="H84" s="317">
        <v>462</v>
      </c>
      <c r="I84" s="317">
        <v>0</v>
      </c>
      <c r="J84" s="447">
        <f t="shared" si="2"/>
        <v>462</v>
      </c>
      <c r="K84" s="578" t="s">
        <v>1215</v>
      </c>
      <c r="L84" s="317">
        <v>0</v>
      </c>
      <c r="M84" s="317">
        <v>68</v>
      </c>
      <c r="N84" s="578" t="s">
        <v>1215</v>
      </c>
      <c r="O84" s="447">
        <f t="shared" si="3"/>
        <v>530</v>
      </c>
    </row>
    <row r="85" spans="1:15" customFormat="1" ht="12.75" customHeight="1" x14ac:dyDescent="0.25">
      <c r="A85" s="345" t="s">
        <v>1134</v>
      </c>
      <c r="B85" s="582"/>
      <c r="C85" s="583"/>
      <c r="D85" s="384" t="s">
        <v>13</v>
      </c>
      <c r="E85" s="583"/>
      <c r="F85" s="583"/>
      <c r="G85" s="584"/>
      <c r="H85" s="317">
        <v>841</v>
      </c>
      <c r="I85" s="317">
        <v>17</v>
      </c>
      <c r="J85" s="447">
        <f t="shared" si="2"/>
        <v>858</v>
      </c>
      <c r="K85" s="578" t="s">
        <v>1215</v>
      </c>
      <c r="L85" s="317">
        <v>370</v>
      </c>
      <c r="M85" s="317">
        <v>0</v>
      </c>
      <c r="N85" s="578" t="s">
        <v>1215</v>
      </c>
      <c r="O85" s="447">
        <f t="shared" si="3"/>
        <v>1228</v>
      </c>
    </row>
    <row r="86" spans="1:15" customFormat="1" ht="12.75" customHeight="1" x14ac:dyDescent="0.25">
      <c r="A86" s="345" t="s">
        <v>1135</v>
      </c>
      <c r="B86" s="503"/>
      <c r="C86" s="504" t="s">
        <v>1231</v>
      </c>
      <c r="D86" s="390"/>
      <c r="E86" s="390"/>
      <c r="F86" s="390"/>
      <c r="G86" s="418"/>
      <c r="H86" s="324">
        <f>SUM(H77:H85)</f>
        <v>33496</v>
      </c>
      <c r="I86" s="324">
        <f>SUM(I77:I85)</f>
        <v>8264</v>
      </c>
      <c r="J86" s="324">
        <f>SUM(J77:J85)</f>
        <v>41760</v>
      </c>
      <c r="K86" s="324" t="s">
        <v>1215</v>
      </c>
      <c r="L86" s="324">
        <f>SUM(L77:L85)</f>
        <v>36724</v>
      </c>
      <c r="M86" s="324">
        <f>SUM(M77:M85)</f>
        <v>8777</v>
      </c>
      <c r="N86" s="324" t="s">
        <v>1215</v>
      </c>
      <c r="O86" s="324">
        <f>SUM(O77:O85)</f>
        <v>87261</v>
      </c>
    </row>
    <row r="87" spans="1:15" customFormat="1" ht="12.75" customHeight="1" x14ac:dyDescent="0.25">
      <c r="A87" s="307" t="s">
        <v>1121</v>
      </c>
      <c r="B87" s="383"/>
      <c r="C87" s="384" t="s">
        <v>969</v>
      </c>
      <c r="D87" s="385"/>
      <c r="E87" s="385"/>
      <c r="F87" s="385"/>
      <c r="G87" s="386"/>
      <c r="H87" s="317">
        <v>30877</v>
      </c>
      <c r="I87" s="317">
        <v>6029</v>
      </c>
      <c r="J87" s="447">
        <f t="shared" ref="J87:J98" si="4">SUM(H87:I87)</f>
        <v>36906</v>
      </c>
      <c r="K87" s="578" t="s">
        <v>1215</v>
      </c>
      <c r="L87" s="317">
        <v>23083</v>
      </c>
      <c r="M87" s="317">
        <v>2092</v>
      </c>
      <c r="N87" s="578" t="s">
        <v>1215</v>
      </c>
      <c r="O87" s="447">
        <f t="shared" ref="O87:O98" si="5">SUM(J87:M87)</f>
        <v>62081</v>
      </c>
    </row>
    <row r="88" spans="1:15" customFormat="1" ht="12.75" customHeight="1" x14ac:dyDescent="0.25">
      <c r="A88" s="307" t="s">
        <v>1232</v>
      </c>
      <c r="B88" s="383"/>
      <c r="C88" s="384" t="s">
        <v>970</v>
      </c>
      <c r="D88" s="385"/>
      <c r="E88" s="385"/>
      <c r="F88" s="385"/>
      <c r="G88" s="386"/>
      <c r="H88" s="317">
        <v>209</v>
      </c>
      <c r="I88" s="317">
        <v>28</v>
      </c>
      <c r="J88" s="447">
        <f t="shared" si="4"/>
        <v>237</v>
      </c>
      <c r="K88" s="578" t="s">
        <v>1215</v>
      </c>
      <c r="L88" s="317">
        <v>50</v>
      </c>
      <c r="M88" s="317">
        <v>0</v>
      </c>
      <c r="N88" s="578" t="s">
        <v>1215</v>
      </c>
      <c r="O88" s="447">
        <f t="shared" si="5"/>
        <v>287</v>
      </c>
    </row>
    <row r="89" spans="1:15" customFormat="1" ht="12.4" customHeight="1" x14ac:dyDescent="0.25">
      <c r="A89" s="307" t="s">
        <v>1233</v>
      </c>
      <c r="B89" s="383"/>
      <c r="C89" s="384" t="s">
        <v>971</v>
      </c>
      <c r="D89" s="385"/>
      <c r="E89" s="385"/>
      <c r="F89" s="385"/>
      <c r="G89" s="386"/>
      <c r="H89" s="317">
        <v>7220</v>
      </c>
      <c r="I89" s="317">
        <v>3887</v>
      </c>
      <c r="J89" s="447">
        <f t="shared" si="4"/>
        <v>11107</v>
      </c>
      <c r="K89" s="578" t="s">
        <v>1215</v>
      </c>
      <c r="L89" s="317">
        <v>13192</v>
      </c>
      <c r="M89" s="317">
        <v>513</v>
      </c>
      <c r="N89" s="578" t="s">
        <v>1215</v>
      </c>
      <c r="O89" s="447">
        <f t="shared" si="5"/>
        <v>24812</v>
      </c>
    </row>
    <row r="90" spans="1:15" customFormat="1" ht="12.4" customHeight="1" x14ac:dyDescent="0.25">
      <c r="A90" s="307" t="s">
        <v>1234</v>
      </c>
      <c r="B90" s="383"/>
      <c r="C90" s="384" t="s">
        <v>973</v>
      </c>
      <c r="D90" s="385"/>
      <c r="E90" s="385"/>
      <c r="F90" s="385"/>
      <c r="G90" s="386"/>
      <c r="H90" s="317">
        <v>1399</v>
      </c>
      <c r="I90" s="317">
        <v>889</v>
      </c>
      <c r="J90" s="447">
        <f t="shared" si="4"/>
        <v>2288</v>
      </c>
      <c r="K90" s="578" t="s">
        <v>1215</v>
      </c>
      <c r="L90" s="317">
        <v>2943</v>
      </c>
      <c r="M90" s="317">
        <v>80</v>
      </c>
      <c r="N90" s="578" t="s">
        <v>1215</v>
      </c>
      <c r="O90" s="447">
        <f t="shared" si="5"/>
        <v>5311</v>
      </c>
    </row>
    <row r="91" spans="1:15" customFormat="1" ht="12.4" customHeight="1" x14ac:dyDescent="0.25">
      <c r="A91" s="307" t="s">
        <v>1235</v>
      </c>
      <c r="B91" s="383"/>
      <c r="C91" s="5" t="s">
        <v>974</v>
      </c>
      <c r="D91" s="385"/>
      <c r="E91" s="385"/>
      <c r="F91" s="385"/>
      <c r="G91" s="386"/>
      <c r="H91" s="317">
        <v>1509</v>
      </c>
      <c r="I91" s="317">
        <v>605</v>
      </c>
      <c r="J91" s="447">
        <f t="shared" si="4"/>
        <v>2114</v>
      </c>
      <c r="K91" s="578" t="s">
        <v>1215</v>
      </c>
      <c r="L91" s="317">
        <v>248</v>
      </c>
      <c r="M91" s="317">
        <v>285</v>
      </c>
      <c r="N91" s="578" t="s">
        <v>1215</v>
      </c>
      <c r="O91" s="447">
        <f t="shared" si="5"/>
        <v>2647</v>
      </c>
    </row>
    <row r="92" spans="1:15" customFormat="1" ht="12.4" customHeight="1" x14ac:dyDescent="0.25">
      <c r="A92" s="307" t="s">
        <v>1236</v>
      </c>
      <c r="B92" s="383"/>
      <c r="C92" s="384" t="s">
        <v>975</v>
      </c>
      <c r="D92" s="385"/>
      <c r="E92" s="385"/>
      <c r="F92" s="385"/>
      <c r="G92" s="386"/>
      <c r="H92" s="317">
        <v>18438</v>
      </c>
      <c r="I92" s="317">
        <v>2081</v>
      </c>
      <c r="J92" s="447">
        <f t="shared" si="4"/>
        <v>20519</v>
      </c>
      <c r="K92" s="578" t="s">
        <v>1215</v>
      </c>
      <c r="L92" s="317">
        <v>9303</v>
      </c>
      <c r="M92" s="317">
        <v>146</v>
      </c>
      <c r="N92" s="578" t="s">
        <v>1215</v>
      </c>
      <c r="O92" s="447">
        <f t="shared" si="5"/>
        <v>29968</v>
      </c>
    </row>
    <row r="93" spans="1:15" customFormat="1" ht="12.4" customHeight="1" x14ac:dyDescent="0.25">
      <c r="A93" s="307" t="s">
        <v>1237</v>
      </c>
      <c r="B93" s="383"/>
      <c r="C93" s="384" t="s">
        <v>976</v>
      </c>
      <c r="D93" s="385"/>
      <c r="E93" s="385"/>
      <c r="F93" s="385"/>
      <c r="G93" s="386"/>
      <c r="H93" s="317">
        <v>42</v>
      </c>
      <c r="I93" s="317">
        <v>30</v>
      </c>
      <c r="J93" s="447">
        <f t="shared" si="4"/>
        <v>72</v>
      </c>
      <c r="K93" s="578" t="s">
        <v>1215</v>
      </c>
      <c r="L93" s="317">
        <v>79</v>
      </c>
      <c r="M93" s="317">
        <v>0</v>
      </c>
      <c r="N93" s="578" t="s">
        <v>1215</v>
      </c>
      <c r="O93" s="447">
        <f t="shared" si="5"/>
        <v>151</v>
      </c>
    </row>
    <row r="94" spans="1:15" customFormat="1" ht="12.4" customHeight="1" x14ac:dyDescent="0.25">
      <c r="A94" s="307" t="s">
        <v>1238</v>
      </c>
      <c r="B94" s="383"/>
      <c r="C94" s="384" t="s">
        <v>977</v>
      </c>
      <c r="D94" s="385"/>
      <c r="E94" s="385"/>
      <c r="F94" s="385"/>
      <c r="G94" s="386"/>
      <c r="H94" s="317">
        <v>502</v>
      </c>
      <c r="I94" s="317">
        <v>63</v>
      </c>
      <c r="J94" s="447">
        <f t="shared" si="4"/>
        <v>565</v>
      </c>
      <c r="K94" s="578" t="s">
        <v>1215</v>
      </c>
      <c r="L94" s="317">
        <v>964</v>
      </c>
      <c r="M94" s="317">
        <v>0</v>
      </c>
      <c r="N94" s="578" t="s">
        <v>1215</v>
      </c>
      <c r="O94" s="447">
        <f t="shared" si="5"/>
        <v>1529</v>
      </c>
    </row>
    <row r="95" spans="1:15" customFormat="1" ht="12.4" customHeight="1" x14ac:dyDescent="0.25">
      <c r="A95" s="307" t="s">
        <v>1239</v>
      </c>
      <c r="B95" s="383"/>
      <c r="C95" s="384" t="s">
        <v>978</v>
      </c>
      <c r="D95" s="385"/>
      <c r="E95" s="385"/>
      <c r="F95" s="385"/>
      <c r="G95" s="386"/>
      <c r="H95" s="317">
        <v>392</v>
      </c>
      <c r="I95" s="317">
        <v>63</v>
      </c>
      <c r="J95" s="447">
        <f t="shared" si="4"/>
        <v>455</v>
      </c>
      <c r="K95" s="578" t="s">
        <v>1215</v>
      </c>
      <c r="L95" s="317">
        <v>854</v>
      </c>
      <c r="M95" s="317">
        <v>0</v>
      </c>
      <c r="N95" s="578" t="s">
        <v>1215</v>
      </c>
      <c r="O95" s="447">
        <f t="shared" si="5"/>
        <v>1309</v>
      </c>
    </row>
    <row r="96" spans="1:15" customFormat="1" ht="12.4" customHeight="1" x14ac:dyDescent="0.25">
      <c r="A96" s="307" t="s">
        <v>1240</v>
      </c>
      <c r="B96" s="383"/>
      <c r="C96" s="384" t="s">
        <v>979</v>
      </c>
      <c r="D96" s="385"/>
      <c r="E96" s="385"/>
      <c r="F96" s="385"/>
      <c r="G96" s="386"/>
      <c r="H96" s="317">
        <v>1956</v>
      </c>
      <c r="I96" s="317">
        <v>576</v>
      </c>
      <c r="J96" s="447">
        <f t="shared" si="4"/>
        <v>2532</v>
      </c>
      <c r="K96" s="578" t="s">
        <v>1215</v>
      </c>
      <c r="L96" s="317">
        <v>4219</v>
      </c>
      <c r="M96" s="317">
        <v>85</v>
      </c>
      <c r="N96" s="578" t="s">
        <v>1215</v>
      </c>
      <c r="O96" s="447">
        <f t="shared" si="5"/>
        <v>6836</v>
      </c>
    </row>
    <row r="97" spans="1:15" customFormat="1" ht="12.4" customHeight="1" x14ac:dyDescent="0.25">
      <c r="A97" s="307" t="s">
        <v>1241</v>
      </c>
      <c r="B97" s="383"/>
      <c r="C97" s="384" t="s">
        <v>980</v>
      </c>
      <c r="D97" s="385"/>
      <c r="E97" s="385"/>
      <c r="F97" s="385"/>
      <c r="G97" s="386"/>
      <c r="H97" s="317">
        <v>2019</v>
      </c>
      <c r="I97" s="317">
        <v>198</v>
      </c>
      <c r="J97" s="447">
        <f t="shared" si="4"/>
        <v>2217</v>
      </c>
      <c r="K97" s="578" t="s">
        <v>1215</v>
      </c>
      <c r="L97" s="317">
        <v>4692</v>
      </c>
      <c r="M97" s="317">
        <v>3</v>
      </c>
      <c r="N97" s="578" t="s">
        <v>1215</v>
      </c>
      <c r="O97" s="447">
        <f t="shared" si="5"/>
        <v>6912</v>
      </c>
    </row>
    <row r="98" spans="1:15" customFormat="1" ht="12.4" customHeight="1" x14ac:dyDescent="0.25">
      <c r="A98" s="307" t="s">
        <v>1242</v>
      </c>
      <c r="B98" s="383"/>
      <c r="C98" s="384" t="s">
        <v>981</v>
      </c>
      <c r="D98" s="385"/>
      <c r="E98" s="385"/>
      <c r="F98" s="385"/>
      <c r="G98" s="386"/>
      <c r="H98" s="317">
        <v>3226</v>
      </c>
      <c r="I98" s="317">
        <v>855</v>
      </c>
      <c r="J98" s="447">
        <f t="shared" si="4"/>
        <v>4081</v>
      </c>
      <c r="K98" s="578" t="s">
        <v>1215</v>
      </c>
      <c r="L98" s="317">
        <v>1286</v>
      </c>
      <c r="M98" s="317">
        <v>317</v>
      </c>
      <c r="N98" s="578" t="s">
        <v>1215</v>
      </c>
      <c r="O98" s="447">
        <f t="shared" si="5"/>
        <v>5684</v>
      </c>
    </row>
    <row r="99" spans="1:15" customFormat="1" ht="12.4" customHeight="1" x14ac:dyDescent="0.25">
      <c r="A99" s="307" t="s">
        <v>1243</v>
      </c>
      <c r="B99" s="405" t="s">
        <v>1070</v>
      </c>
      <c r="C99" s="390"/>
      <c r="D99" s="390"/>
      <c r="E99" s="390"/>
      <c r="F99" s="390"/>
      <c r="G99" s="418"/>
      <c r="H99" s="324">
        <f>SUM(H86:H98)</f>
        <v>101285</v>
      </c>
      <c r="I99" s="324">
        <f>SUM(I86:I98)</f>
        <v>23568</v>
      </c>
      <c r="J99" s="324">
        <f>SUM(J86:J98)</f>
        <v>124853</v>
      </c>
      <c r="K99" s="324" t="s">
        <v>1215</v>
      </c>
      <c r="L99" s="324">
        <f>SUM(L86:L98)</f>
        <v>97637</v>
      </c>
      <c r="M99" s="324">
        <f>SUM(M86:M98)</f>
        <v>12298</v>
      </c>
      <c r="N99" s="324" t="s">
        <v>1215</v>
      </c>
      <c r="O99" s="324">
        <f>SUM(O86:O98)</f>
        <v>234788</v>
      </c>
    </row>
    <row r="100" spans="1:15" x14ac:dyDescent="0.2">
      <c r="A100" s="307"/>
      <c r="B100" s="31"/>
      <c r="C100" s="470"/>
      <c r="D100" s="470"/>
      <c r="E100" s="470"/>
      <c r="F100" s="470"/>
      <c r="G100" s="39"/>
      <c r="H100" s="37"/>
      <c r="I100" s="37"/>
      <c r="J100" s="37"/>
      <c r="K100" s="37"/>
      <c r="L100" s="37"/>
      <c r="M100" s="37"/>
      <c r="N100" s="43"/>
      <c r="O100" s="37"/>
    </row>
    <row r="101" spans="1:15" x14ac:dyDescent="0.2">
      <c r="A101" s="307">
        <v>7</v>
      </c>
      <c r="B101" s="465" t="s">
        <v>1223</v>
      </c>
      <c r="C101" s="466"/>
      <c r="D101" s="466"/>
      <c r="E101" s="466"/>
      <c r="F101" s="466"/>
      <c r="G101" s="467"/>
      <c r="H101" s="311"/>
      <c r="I101" s="311"/>
      <c r="J101" s="311"/>
      <c r="K101" s="311"/>
      <c r="L101" s="311"/>
      <c r="M101" s="311"/>
      <c r="N101" s="577"/>
      <c r="O101" s="311"/>
    </row>
    <row r="102" spans="1:15" customFormat="1" ht="12.4" customHeight="1" x14ac:dyDescent="0.25">
      <c r="A102" s="307" t="s">
        <v>838</v>
      </c>
      <c r="B102" s="475"/>
      <c r="C102" s="469" t="s">
        <v>1244</v>
      </c>
      <c r="D102" s="470"/>
      <c r="E102" s="470"/>
      <c r="F102" s="470"/>
      <c r="G102" s="471"/>
      <c r="H102" s="317">
        <v>0</v>
      </c>
      <c r="I102" s="317">
        <v>-140529</v>
      </c>
      <c r="J102" s="447">
        <f>SUM(H102:I102)</f>
        <v>-140529</v>
      </c>
      <c r="K102" s="578" t="s">
        <v>1215</v>
      </c>
      <c r="L102" s="317">
        <v>0</v>
      </c>
      <c r="M102" s="578" t="s">
        <v>1215</v>
      </c>
      <c r="N102" s="317">
        <v>7358</v>
      </c>
      <c r="O102" s="447">
        <f>SUM(J102:N102)</f>
        <v>-133171</v>
      </c>
    </row>
    <row r="103" spans="1:15" customFormat="1" ht="12.4" customHeight="1" x14ac:dyDescent="0.25">
      <c r="A103" s="307" t="s">
        <v>839</v>
      </c>
      <c r="B103" s="475"/>
      <c r="C103" s="469" t="s">
        <v>1245</v>
      </c>
      <c r="D103" s="470"/>
      <c r="E103" s="470"/>
      <c r="F103" s="470"/>
      <c r="G103" s="471"/>
      <c r="H103" s="317">
        <v>43</v>
      </c>
      <c r="I103" s="317">
        <v>10560</v>
      </c>
      <c r="J103" s="447">
        <f>SUM(H103:I103)</f>
        <v>10603</v>
      </c>
      <c r="K103" s="317">
        <v>0</v>
      </c>
      <c r="L103" s="317">
        <v>12410</v>
      </c>
      <c r="M103" s="317">
        <v>0</v>
      </c>
      <c r="N103" s="317">
        <v>16021</v>
      </c>
      <c r="O103" s="447">
        <f>SUM(J103:N103)</f>
        <v>39034</v>
      </c>
    </row>
    <row r="104" spans="1:15" customFormat="1" ht="12.4" customHeight="1" x14ac:dyDescent="0.25">
      <c r="A104" s="307" t="s">
        <v>840</v>
      </c>
      <c r="B104" s="405" t="s">
        <v>1246</v>
      </c>
      <c r="C104" s="390"/>
      <c r="D104" s="390"/>
      <c r="E104" s="390"/>
      <c r="F104" s="390"/>
      <c r="G104" s="418"/>
      <c r="H104" s="447">
        <f t="shared" ref="H104:N104" si="6">SUM(H102:H103)</f>
        <v>43</v>
      </c>
      <c r="I104" s="447">
        <f t="shared" si="6"/>
        <v>-129969</v>
      </c>
      <c r="J104" s="447">
        <f t="shared" si="6"/>
        <v>-129926</v>
      </c>
      <c r="K104" s="472">
        <f t="shared" si="6"/>
        <v>0</v>
      </c>
      <c r="L104" s="472">
        <f t="shared" si="6"/>
        <v>12410</v>
      </c>
      <c r="M104" s="472">
        <f t="shared" si="6"/>
        <v>0</v>
      </c>
      <c r="N104" s="472">
        <f t="shared" si="6"/>
        <v>23379</v>
      </c>
      <c r="O104" s="447">
        <f>SUM(J104:N104)</f>
        <v>-94137</v>
      </c>
    </row>
    <row r="105" spans="1:15" x14ac:dyDescent="0.2">
      <c r="A105" s="307"/>
      <c r="B105" s="476"/>
      <c r="C105" s="477"/>
      <c r="D105" s="477"/>
      <c r="E105" s="477"/>
      <c r="F105" s="477"/>
      <c r="G105" s="478"/>
      <c r="H105" s="37"/>
      <c r="I105" s="37"/>
      <c r="J105" s="37"/>
      <c r="K105" s="37"/>
      <c r="L105" s="37"/>
      <c r="M105" s="37"/>
      <c r="N105" s="43"/>
      <c r="O105" s="37"/>
    </row>
    <row r="106" spans="1:15" customFormat="1" ht="12.4" customHeight="1" x14ac:dyDescent="0.25">
      <c r="A106" s="307">
        <v>8</v>
      </c>
      <c r="B106" s="405" t="s">
        <v>749</v>
      </c>
      <c r="C106" s="390"/>
      <c r="D106" s="390"/>
      <c r="E106" s="390"/>
      <c r="F106" s="390"/>
      <c r="G106" s="418"/>
      <c r="H106" s="472">
        <f>SUM(H51,H53,H63,H99,H104)</f>
        <v>332822</v>
      </c>
      <c r="I106" s="472">
        <f>SUM(I51,I53,I63,I68,I73,I99,I104)</f>
        <v>136122</v>
      </c>
      <c r="J106" s="472">
        <f>SUM(J51,J53,J63,J68,J73,J99,J104)</f>
        <v>468944</v>
      </c>
      <c r="K106" s="472">
        <f>SUM(K104)</f>
        <v>0</v>
      </c>
      <c r="L106" s="472">
        <f>SUM(L51,L53,L63,L68,L73,L99,L104)</f>
        <v>380458</v>
      </c>
      <c r="M106" s="472">
        <f>SUM(M51,M53,M63,M68,M73,M99,M104)</f>
        <v>60930</v>
      </c>
      <c r="N106" s="472">
        <f>N68+N73+N104</f>
        <v>23379</v>
      </c>
      <c r="O106" s="472">
        <f>SUM(J106:N106)</f>
        <v>933711</v>
      </c>
    </row>
  </sheetData>
  <sheetProtection algorithmName="SHA-512" hashValue="gzZSxTA6GczhTNRt0zPVnShYqufwWNQx/ZbxBn4POfKfsozSc9c2RBrn8oxNqlf7/OAFXVB8N+FBMjedYMeuHQ==" saltValue="yP2HptU6A7ZwTSj1VwwQVg==" spinCount="100000" sheet="1" objects="1"/>
  <mergeCells count="1">
    <mergeCell ref="H1:O1"/>
  </mergeCells>
  <dataValidations count="1">
    <dataValidation type="whole" operator="greaterThan" allowBlank="1" showInputMessage="1" showErrorMessage="1" errorTitle="Whole numbers only allowed" error="All monies should be independently rounded to the nearest £1,000." sqref="H6:I50 L6:M50 H53:I53 L53:M53 H56:I56 L56:M56 L58:L60 H60:I60 M60 H62:I62 L62:M62 I66:I67 L66:L67 N66:N67 M67 I71:I72 L71:N72 H77:I85 L77:M85 H87:I98 L87:M98 H102:I103 L102:L103 N102:N103 K103 M103">
      <formula1>-99999999</formula1>
    </dataValidation>
  </dataValidations>
  <printOptions headings="1" gridLines="1"/>
  <pageMargins left="0.31496062992125984" right="0.31496062992125984" top="0.74803149606299213" bottom="0.74803149606299213" header="0.31496062992125984" footer="0.31496062992125984"/>
  <pageSetup paperSize="8" orientation="portrait" r:id="rId1"/>
  <ignoredErrors>
    <ignoredError sqref="J86 O86 M68 K106" formula="1"/>
    <ignoredError sqref="H104:I104"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O19"/>
  <sheetViews>
    <sheetView workbookViewId="0">
      <selection activeCell="J14" sqref="J14"/>
    </sheetView>
  </sheetViews>
  <sheetFormatPr defaultColWidth="9.140625" defaultRowHeight="12.75" x14ac:dyDescent="0.2"/>
  <cols>
    <col min="1" max="1" width="10" style="9" bestFit="1" customWidth="1"/>
    <col min="2" max="2" width="2.5703125" style="5" customWidth="1"/>
    <col min="3" max="3" width="21.5703125" style="5" customWidth="1"/>
    <col min="4" max="5" width="3.85546875" style="5" hidden="1" customWidth="1"/>
    <col min="6" max="6" width="3.28515625" style="5" hidden="1" customWidth="1"/>
    <col min="7" max="7" width="2.28515625" style="5" hidden="1" customWidth="1"/>
    <col min="8" max="9" width="15.7109375" style="5" customWidth="1"/>
    <col min="10" max="10" width="14.7109375" style="5" customWidth="1"/>
    <col min="11" max="11" width="14.85546875" style="5" customWidth="1"/>
    <col min="12" max="12" width="14.42578125" style="5" customWidth="1"/>
    <col min="13" max="13" width="14.28515625" style="5" customWidth="1"/>
    <col min="14" max="15" width="15.7109375" style="5" customWidth="1"/>
    <col min="16" max="16" width="9.140625" style="5" customWidth="1"/>
    <col min="17" max="16384" width="9.140625" style="5"/>
  </cols>
  <sheetData>
    <row r="1" spans="1:15" customFormat="1" ht="15" customHeight="1" x14ac:dyDescent="0.25">
      <c r="A1" s="550" t="s">
        <v>1247</v>
      </c>
      <c r="B1" s="523" t="s">
        <v>1248</v>
      </c>
      <c r="C1" s="523"/>
      <c r="D1" s="523"/>
      <c r="E1" s="523"/>
      <c r="F1" s="523"/>
      <c r="G1" s="523"/>
      <c r="H1" s="713" t="s">
        <v>1249</v>
      </c>
      <c r="I1" s="713"/>
      <c r="J1" s="713"/>
      <c r="K1" s="713"/>
      <c r="L1" s="713"/>
      <c r="M1" s="713"/>
      <c r="N1" s="713"/>
      <c r="O1" s="713"/>
    </row>
    <row r="2" spans="1:15" customFormat="1" ht="15.75" customHeight="1" x14ac:dyDescent="0.25">
      <c r="A2" s="585"/>
      <c r="B2" s="586"/>
      <c r="C2" s="586"/>
      <c r="D2" s="586"/>
      <c r="E2" s="586"/>
      <c r="F2" s="586"/>
      <c r="G2" s="586"/>
      <c r="H2" s="587">
        <v>1</v>
      </c>
      <c r="I2" s="587">
        <v>2</v>
      </c>
      <c r="J2" s="587">
        <v>3</v>
      </c>
      <c r="K2" s="587">
        <v>4</v>
      </c>
      <c r="L2" s="587">
        <v>5</v>
      </c>
      <c r="M2" s="587">
        <v>6</v>
      </c>
      <c r="N2" s="587">
        <v>7</v>
      </c>
      <c r="O2" s="587">
        <v>8</v>
      </c>
    </row>
    <row r="3" spans="1:15" customFormat="1" ht="45" customHeight="1" x14ac:dyDescent="0.25">
      <c r="A3" s="585"/>
      <c r="B3" s="586"/>
      <c r="C3" s="586"/>
      <c r="D3" s="586"/>
      <c r="E3" s="586"/>
      <c r="F3" s="586"/>
      <c r="G3" s="588"/>
      <c r="H3" s="589" t="s">
        <v>726</v>
      </c>
      <c r="I3" s="589" t="s">
        <v>1250</v>
      </c>
      <c r="J3" s="589" t="s">
        <v>1251</v>
      </c>
      <c r="K3" s="573" t="s">
        <v>1252</v>
      </c>
      <c r="L3" s="573" t="s">
        <v>1253</v>
      </c>
      <c r="M3" s="573" t="s">
        <v>1254</v>
      </c>
      <c r="N3" s="589" t="s">
        <v>1255</v>
      </c>
      <c r="O3" s="589" t="s">
        <v>1256</v>
      </c>
    </row>
    <row r="4" spans="1:15" customFormat="1" ht="15" customHeight="1" x14ac:dyDescent="0.25">
      <c r="A4" s="585"/>
      <c r="B4" s="590"/>
      <c r="C4" s="590"/>
      <c r="D4" s="590"/>
      <c r="E4" s="590"/>
      <c r="F4" s="590"/>
      <c r="G4" s="591"/>
      <c r="H4" s="491" t="s">
        <v>717</v>
      </c>
      <c r="I4" s="491" t="s">
        <v>717</v>
      </c>
      <c r="J4" s="491" t="s">
        <v>717</v>
      </c>
      <c r="K4" s="491" t="s">
        <v>717</v>
      </c>
      <c r="L4" s="301" t="s">
        <v>717</v>
      </c>
      <c r="M4" s="301" t="s">
        <v>717</v>
      </c>
      <c r="N4" s="491" t="s">
        <v>717</v>
      </c>
      <c r="O4" s="491" t="s">
        <v>717</v>
      </c>
    </row>
    <row r="5" spans="1:15" customFormat="1" ht="12.75" customHeight="1" x14ac:dyDescent="0.25">
      <c r="A5" s="307">
        <v>1</v>
      </c>
      <c r="B5" s="465" t="s">
        <v>1155</v>
      </c>
      <c r="C5" s="466"/>
      <c r="D5" s="466"/>
      <c r="E5" s="466"/>
      <c r="F5" s="466"/>
      <c r="G5" s="467"/>
      <c r="H5" s="492"/>
      <c r="I5" s="492"/>
      <c r="J5" s="492"/>
      <c r="K5" s="492"/>
      <c r="L5" s="492"/>
      <c r="M5" s="492"/>
      <c r="N5" s="492"/>
      <c r="O5" s="492"/>
    </row>
    <row r="6" spans="1:15" customFormat="1" ht="12.75" customHeight="1" x14ac:dyDescent="0.25">
      <c r="A6" s="307" t="s">
        <v>723</v>
      </c>
      <c r="B6" s="475"/>
      <c r="C6" s="469" t="s">
        <v>1257</v>
      </c>
      <c r="D6" s="470"/>
      <c r="E6" s="470"/>
      <c r="F6" s="470"/>
      <c r="G6" s="471"/>
      <c r="H6" s="541">
        <v>0</v>
      </c>
      <c r="I6" s="541">
        <v>0</v>
      </c>
      <c r="J6" s="541">
        <v>3209</v>
      </c>
      <c r="K6" s="541">
        <v>0</v>
      </c>
      <c r="L6" s="8">
        <v>0</v>
      </c>
      <c r="M6" s="8">
        <v>0</v>
      </c>
      <c r="N6" s="8">
        <v>0</v>
      </c>
      <c r="O6" s="447">
        <f>SUM(H6:J6,K6:N6)</f>
        <v>3209</v>
      </c>
    </row>
    <row r="7" spans="1:15" customFormat="1" ht="12.75" customHeight="1" x14ac:dyDescent="0.25">
      <c r="A7" s="307" t="s">
        <v>725</v>
      </c>
      <c r="B7" s="475"/>
      <c r="C7" s="469" t="s">
        <v>1258</v>
      </c>
      <c r="D7" s="470"/>
      <c r="E7" s="470"/>
      <c r="F7" s="470"/>
      <c r="G7" s="471"/>
      <c r="H7" s="541">
        <v>0</v>
      </c>
      <c r="I7" s="541">
        <v>0</v>
      </c>
      <c r="J7" s="541">
        <v>0</v>
      </c>
      <c r="K7" s="541">
        <v>0</v>
      </c>
      <c r="L7" s="8">
        <v>0</v>
      </c>
      <c r="M7" s="8">
        <v>0</v>
      </c>
      <c r="N7" s="8">
        <v>0</v>
      </c>
      <c r="O7" s="447">
        <f>SUM(H7:J7,K7:N7)</f>
        <v>0</v>
      </c>
    </row>
    <row r="8" spans="1:15" customFormat="1" ht="12.75" customHeight="1" x14ac:dyDescent="0.25">
      <c r="A8" s="307"/>
      <c r="B8" s="475"/>
      <c r="C8" s="469"/>
      <c r="D8" s="470"/>
      <c r="E8" s="470"/>
      <c r="F8" s="470"/>
      <c r="G8" s="471"/>
      <c r="H8" s="542"/>
      <c r="I8" s="542"/>
      <c r="J8" s="542"/>
      <c r="K8" s="542"/>
      <c r="L8" s="3"/>
      <c r="M8" s="3"/>
      <c r="N8" s="3"/>
      <c r="O8" s="532"/>
    </row>
    <row r="9" spans="1:15" customFormat="1" ht="12.75" customHeight="1" x14ac:dyDescent="0.25">
      <c r="A9" s="307">
        <v>2</v>
      </c>
      <c r="B9" s="465" t="s">
        <v>1228</v>
      </c>
      <c r="C9" s="466"/>
      <c r="D9" s="466"/>
      <c r="E9" s="466"/>
      <c r="F9" s="466"/>
      <c r="G9" s="467"/>
      <c r="H9" s="492"/>
      <c r="I9" s="492"/>
      <c r="J9" s="492"/>
      <c r="K9" s="592"/>
      <c r="L9" s="492"/>
      <c r="M9" s="492"/>
      <c r="N9" s="492"/>
      <c r="O9" s="492"/>
    </row>
    <row r="10" spans="1:15" customFormat="1" ht="12.75" customHeight="1" x14ac:dyDescent="0.25">
      <c r="A10" s="307" t="s">
        <v>738</v>
      </c>
      <c r="B10" s="475"/>
      <c r="C10" s="469" t="s">
        <v>1257</v>
      </c>
      <c r="D10" s="470"/>
      <c r="E10" s="470"/>
      <c r="F10" s="470"/>
      <c r="G10" s="471"/>
      <c r="H10" s="541">
        <v>0</v>
      </c>
      <c r="I10" s="541">
        <v>0</v>
      </c>
      <c r="J10" s="541">
        <v>0</v>
      </c>
      <c r="K10" s="541">
        <v>0</v>
      </c>
      <c r="L10" s="8">
        <v>0</v>
      </c>
      <c r="M10" s="8">
        <v>0</v>
      </c>
      <c r="N10" s="8">
        <v>0</v>
      </c>
      <c r="O10" s="447">
        <f>SUM(H10:J10,K10:N10)</f>
        <v>0</v>
      </c>
    </row>
    <row r="11" spans="1:15" customFormat="1" ht="12.75" customHeight="1" x14ac:dyDescent="0.25">
      <c r="A11" s="307" t="s">
        <v>740</v>
      </c>
      <c r="B11" s="475"/>
      <c r="C11" s="469" t="s">
        <v>1258</v>
      </c>
      <c r="D11" s="470"/>
      <c r="E11" s="470"/>
      <c r="F11" s="470"/>
      <c r="G11" s="471"/>
      <c r="H11" s="541">
        <v>0</v>
      </c>
      <c r="I11" s="541">
        <v>0</v>
      </c>
      <c r="J11" s="541">
        <v>0</v>
      </c>
      <c r="K11" s="541">
        <v>0</v>
      </c>
      <c r="L11" s="8">
        <v>0</v>
      </c>
      <c r="M11" s="8">
        <v>0</v>
      </c>
      <c r="N11" s="8">
        <v>0</v>
      </c>
      <c r="O11" s="447">
        <f>SUM(H11:J11,K11:N11)</f>
        <v>0</v>
      </c>
    </row>
    <row r="12" spans="1:15" customFormat="1" ht="12.75" customHeight="1" x14ac:dyDescent="0.25">
      <c r="A12" s="307"/>
      <c r="B12" s="475"/>
      <c r="C12" s="469"/>
      <c r="D12" s="470"/>
      <c r="E12" s="470"/>
      <c r="F12" s="470"/>
      <c r="G12" s="471"/>
      <c r="H12" s="542"/>
      <c r="I12" s="542"/>
      <c r="J12" s="542"/>
      <c r="K12" s="542"/>
      <c r="L12" s="3"/>
      <c r="M12" s="3"/>
      <c r="N12" s="3"/>
      <c r="O12" s="532"/>
    </row>
    <row r="13" spans="1:15" customFormat="1" ht="12.75" customHeight="1" x14ac:dyDescent="0.25">
      <c r="A13" s="307">
        <v>3</v>
      </c>
      <c r="B13" s="465" t="s">
        <v>1259</v>
      </c>
      <c r="C13" s="466"/>
      <c r="D13" s="466"/>
      <c r="E13" s="466"/>
      <c r="F13" s="466"/>
      <c r="G13" s="467"/>
      <c r="H13" s="497"/>
      <c r="I13" s="497"/>
      <c r="J13" s="497"/>
      <c r="K13" s="593"/>
      <c r="L13" s="593"/>
      <c r="M13" s="593"/>
      <c r="N13" s="593"/>
      <c r="O13" s="497"/>
    </row>
    <row r="14" spans="1:15" customFormat="1" ht="12.75" customHeight="1" x14ac:dyDescent="0.25">
      <c r="A14" s="307" t="s">
        <v>816</v>
      </c>
      <c r="B14" s="475"/>
      <c r="C14" s="469" t="s">
        <v>1257</v>
      </c>
      <c r="D14" s="470"/>
      <c r="E14" s="470"/>
      <c r="F14" s="470"/>
      <c r="G14" s="471"/>
      <c r="H14" s="541">
        <v>3397</v>
      </c>
      <c r="I14" s="541">
        <v>3351</v>
      </c>
      <c r="J14" s="541">
        <v>33028</v>
      </c>
      <c r="K14" s="541">
        <v>0</v>
      </c>
      <c r="L14" s="8">
        <v>0</v>
      </c>
      <c r="M14" s="8">
        <v>0</v>
      </c>
      <c r="N14" s="8">
        <v>35650</v>
      </c>
      <c r="O14" s="447">
        <f>SUM(H14:J14,K14:N14)</f>
        <v>75426</v>
      </c>
    </row>
    <row r="15" spans="1:15" customFormat="1" ht="12.75" customHeight="1" x14ac:dyDescent="0.25">
      <c r="A15" s="307" t="s">
        <v>818</v>
      </c>
      <c r="B15" s="475"/>
      <c r="C15" s="469" t="s">
        <v>1258</v>
      </c>
      <c r="D15" s="470"/>
      <c r="E15" s="470"/>
      <c r="F15" s="470"/>
      <c r="G15" s="471"/>
      <c r="H15" s="541">
        <v>0</v>
      </c>
      <c r="I15" s="541">
        <v>0</v>
      </c>
      <c r="J15" s="541">
        <v>14256</v>
      </c>
      <c r="K15" s="541">
        <v>0</v>
      </c>
      <c r="L15" s="8">
        <v>0</v>
      </c>
      <c r="M15" s="8">
        <v>0</v>
      </c>
      <c r="N15" s="8">
        <v>9879</v>
      </c>
      <c r="O15" s="447">
        <f>SUM(H15:J15,K15:N15)</f>
        <v>24135</v>
      </c>
    </row>
    <row r="16" spans="1:15" customFormat="1" ht="12.75" customHeight="1" x14ac:dyDescent="0.25">
      <c r="A16" s="307"/>
      <c r="B16" s="475"/>
      <c r="C16" s="469"/>
      <c r="D16" s="470"/>
      <c r="E16" s="470"/>
      <c r="F16" s="470"/>
      <c r="G16" s="471"/>
      <c r="H16" s="542"/>
      <c r="I16" s="542"/>
      <c r="J16" s="542"/>
      <c r="K16" s="543"/>
      <c r="L16" s="3"/>
      <c r="M16" s="3"/>
      <c r="N16" s="3"/>
      <c r="O16" s="532"/>
    </row>
    <row r="17" spans="1:15" customFormat="1" ht="12.75" customHeight="1" x14ac:dyDescent="0.25">
      <c r="A17" s="307">
        <v>4</v>
      </c>
      <c r="B17" s="405" t="s">
        <v>1260</v>
      </c>
      <c r="C17" s="390"/>
      <c r="D17" s="390"/>
      <c r="E17" s="390"/>
      <c r="F17" s="390"/>
      <c r="G17" s="418"/>
      <c r="H17" s="447">
        <f t="shared" ref="H17:N17" si="0">SUM(H6:H7)+SUM(H10:H11)+SUM(H14:H15)</f>
        <v>3397</v>
      </c>
      <c r="I17" s="447">
        <f t="shared" si="0"/>
        <v>3351</v>
      </c>
      <c r="J17" s="447">
        <f t="shared" si="0"/>
        <v>50493</v>
      </c>
      <c r="K17" s="447">
        <f t="shared" si="0"/>
        <v>0</v>
      </c>
      <c r="L17" s="447">
        <f t="shared" si="0"/>
        <v>0</v>
      </c>
      <c r="M17" s="447">
        <f t="shared" si="0"/>
        <v>0</v>
      </c>
      <c r="N17" s="447">
        <f t="shared" si="0"/>
        <v>45529</v>
      </c>
      <c r="O17" s="447">
        <f>SUM(H17:J17,K17:N17)</f>
        <v>102770</v>
      </c>
    </row>
    <row r="19" spans="1:15" x14ac:dyDescent="0.2">
      <c r="L19" s="4"/>
    </row>
  </sheetData>
  <sheetProtection algorithmName="SHA-512" hashValue="gnw6DN+hp7v8Q0/+BVm3zfsDppa7xI8yFj4ApbHTJLtwbisqThLG2U/nJMheGLerJYfc1EhZ92Xjd34d7Mpvdg==" saltValue="44ZeSXvQ1LGbZS85n9VHLQ==" spinCount="100000" sheet="1" objects="1"/>
  <mergeCells count="1">
    <mergeCell ref="H1:O1"/>
  </mergeCells>
  <dataValidations count="1">
    <dataValidation type="whole" operator="greaterThan" allowBlank="1" showInputMessage="1" showErrorMessage="1" errorTitle="Whole numbers only allowed" error="All monies should be independently rounded to the nearest £1,000." sqref="H6:O7 H10:O11 H14:O15">
      <formula1>-99999999</formula1>
    </dataValidation>
  </dataValidations>
  <printOptions headings="1" gridLines="1"/>
  <pageMargins left="0.31496062992125984" right="0.31496062992125984" top="0.74803149606299213" bottom="0.74803149606299213" header="0.31496062992125984" footer="0.31496062992125984"/>
  <pageSetup paperSize="9"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Z54"/>
  <sheetViews>
    <sheetView workbookViewId="0">
      <pane ySplit="4" topLeftCell="A5" activePane="bottomLeft" state="frozenSplit"/>
      <selection pane="bottomLeft" activeCell="K20" sqref="K20"/>
    </sheetView>
  </sheetViews>
  <sheetFormatPr defaultColWidth="9.140625" defaultRowHeight="12.75" x14ac:dyDescent="0.2"/>
  <cols>
    <col min="1" max="1" width="12.42578125" style="9" customWidth="1"/>
    <col min="2" max="2" width="2.7109375" style="5" customWidth="1"/>
    <col min="3" max="3" width="54.5703125" style="5" customWidth="1"/>
    <col min="4" max="4" width="52.28515625" style="5" hidden="1" customWidth="1"/>
    <col min="5" max="5" width="3.28515625" style="5" hidden="1" customWidth="1"/>
    <col min="6" max="6" width="4.140625" style="5" hidden="1" customWidth="1"/>
    <col min="7" max="7" width="2.7109375" style="5" hidden="1" customWidth="1"/>
    <col min="8" max="9" width="16.42578125" style="5" customWidth="1"/>
    <col min="10" max="10" width="17.28515625" style="5" hidden="1" customWidth="1"/>
    <col min="11" max="11" width="59" style="19" customWidth="1"/>
    <col min="12" max="12" width="66.42578125" style="19" customWidth="1"/>
    <col min="13" max="13" width="6.7109375" style="19" hidden="1" customWidth="1"/>
    <col min="14" max="14" width="18.42578125" style="5" hidden="1" customWidth="1"/>
    <col min="15" max="15" width="15.7109375" style="7" hidden="1" customWidth="1"/>
    <col min="16" max="16" width="12.28515625" style="5" hidden="1" customWidth="1"/>
    <col min="17" max="17" width="11.85546875" style="5" hidden="1" customWidth="1"/>
    <col min="18" max="18" width="16.85546875" style="7" hidden="1" customWidth="1"/>
    <col min="19" max="19" width="15.5703125" style="5" hidden="1" customWidth="1"/>
    <col min="20" max="20" width="12.5703125" style="5" hidden="1" customWidth="1"/>
    <col min="21" max="21" width="17.7109375" style="5" hidden="1" customWidth="1"/>
    <col min="22" max="22" width="13.28515625" style="5" hidden="1" customWidth="1"/>
    <col min="23" max="23" width="15.42578125" style="5" hidden="1" customWidth="1"/>
    <col min="24" max="24" width="19.5703125" style="5" hidden="1" customWidth="1"/>
    <col min="25" max="25" width="13.28515625" style="5" hidden="1" customWidth="1"/>
    <col min="26" max="26" width="13.42578125" style="5" hidden="1" customWidth="1"/>
    <col min="27" max="27" width="9.140625" style="5" customWidth="1"/>
    <col min="28" max="16384" width="9.140625" style="5"/>
  </cols>
  <sheetData>
    <row r="1" spans="1:26" customFormat="1" ht="65.25" customHeight="1" thickBot="1" x14ac:dyDescent="0.3">
      <c r="A1" s="288" t="s">
        <v>1261</v>
      </c>
      <c r="B1" s="701" t="s">
        <v>1262</v>
      </c>
      <c r="C1" s="701"/>
      <c r="D1" s="701"/>
      <c r="E1" s="701"/>
      <c r="F1" s="701"/>
      <c r="G1" s="701"/>
      <c r="H1" s="594"/>
      <c r="I1" s="291" t="s">
        <v>709</v>
      </c>
      <c r="J1" s="291" t="s">
        <v>709</v>
      </c>
      <c r="N1" s="293" t="str">
        <f>Title_Page!H173</f>
        <v>PASS</v>
      </c>
    </row>
    <row r="2" spans="1:26" customFormat="1" ht="45" customHeight="1" x14ac:dyDescent="0.25">
      <c r="A2" s="294"/>
      <c r="B2" s="295" t="str">
        <f>'Hide_me(drop_downs)'!I1</f>
        <v>Year ended 31 July 2020</v>
      </c>
      <c r="C2" s="372"/>
      <c r="D2" s="372"/>
      <c r="E2" s="372"/>
      <c r="F2" s="372"/>
      <c r="G2" s="372"/>
      <c r="H2" s="372"/>
      <c r="I2" s="297" t="s">
        <v>710</v>
      </c>
      <c r="J2" s="297" t="s">
        <v>711</v>
      </c>
      <c r="K2" s="739" t="s">
        <v>1263</v>
      </c>
      <c r="L2" s="739" t="s">
        <v>342</v>
      </c>
      <c r="M2" s="71" t="s">
        <v>342</v>
      </c>
      <c r="N2" s="5" t="s">
        <v>713</v>
      </c>
    </row>
    <row r="3" spans="1:26" customFormat="1" ht="39.75" customHeight="1" x14ac:dyDescent="0.25">
      <c r="A3" s="298"/>
      <c r="B3" s="259"/>
      <c r="C3" s="259"/>
      <c r="D3" s="259"/>
      <c r="E3" s="259"/>
      <c r="F3" s="259"/>
      <c r="G3" s="299"/>
      <c r="H3" s="300" t="str">
        <f>'Hide_me(drop_downs)'!I1</f>
        <v>Year ended 31 July 2020</v>
      </c>
      <c r="I3" s="301" t="str">
        <f>'Hide_me(drop_downs)'!J1</f>
        <v>Year ended 31 July 2019</v>
      </c>
      <c r="J3" s="301" t="str">
        <f>'Hide_me(drop_downs)'!J1</f>
        <v>Year ended 31 July 2019</v>
      </c>
      <c r="K3" s="7" t="str">
        <f>'Hide_me(drop_downs)'!I1</f>
        <v>Year ended 31 July 2020</v>
      </c>
      <c r="L3" s="71" t="str">
        <f>'Hide_me(drop_downs)'!J1</f>
        <v>Year ended 31 July 2019</v>
      </c>
      <c r="M3" s="71" t="s">
        <v>342</v>
      </c>
      <c r="N3" s="5" t="s">
        <v>715</v>
      </c>
      <c r="P3" s="735" t="s">
        <v>1264</v>
      </c>
      <c r="Q3" s="735"/>
      <c r="S3" s="735" t="s">
        <v>1264</v>
      </c>
      <c r="T3" s="735"/>
      <c r="U3" s="7"/>
      <c r="V3" s="735" t="s">
        <v>1264</v>
      </c>
      <c r="W3" s="735"/>
      <c r="X3" s="7"/>
      <c r="Y3" s="735" t="s">
        <v>1264</v>
      </c>
      <c r="Z3" s="735"/>
    </row>
    <row r="4" spans="1:26" customFormat="1" ht="21" customHeight="1" thickBot="1" x14ac:dyDescent="0.3">
      <c r="A4" s="303"/>
      <c r="B4" s="304"/>
      <c r="C4" s="304"/>
      <c r="D4" s="304"/>
      <c r="E4" s="304"/>
      <c r="F4" s="304"/>
      <c r="G4" s="305"/>
      <c r="H4" s="306" t="s">
        <v>717</v>
      </c>
      <c r="I4" s="306" t="s">
        <v>717</v>
      </c>
      <c r="J4" s="306" t="s">
        <v>717</v>
      </c>
      <c r="K4" s="23" t="s">
        <v>1265</v>
      </c>
      <c r="L4" s="23" t="s">
        <v>1265</v>
      </c>
      <c r="M4" s="175"/>
      <c r="N4" s="133" t="s">
        <v>358</v>
      </c>
      <c r="O4" s="24" t="s">
        <v>1266</v>
      </c>
      <c r="P4" s="29" t="s">
        <v>1267</v>
      </c>
      <c r="Q4" s="6" t="s">
        <v>1268</v>
      </c>
      <c r="R4" s="24" t="s">
        <v>1269</v>
      </c>
      <c r="S4" s="6" t="s">
        <v>1267</v>
      </c>
      <c r="T4" s="6" t="s">
        <v>1268</v>
      </c>
      <c r="U4" s="24" t="s">
        <v>1270</v>
      </c>
      <c r="V4" s="29" t="s">
        <v>1267</v>
      </c>
      <c r="W4" s="6" t="s">
        <v>1268</v>
      </c>
      <c r="X4" s="24" t="s">
        <v>1271</v>
      </c>
      <c r="Y4" s="5" t="s">
        <v>1267</v>
      </c>
      <c r="Z4" s="6" t="s">
        <v>1268</v>
      </c>
    </row>
    <row r="5" spans="1:26" customFormat="1" ht="12.75" customHeight="1" thickBot="1" x14ac:dyDescent="0.3">
      <c r="A5" s="307">
        <v>1</v>
      </c>
      <c r="B5" s="308" t="s">
        <v>721</v>
      </c>
      <c r="C5" s="309"/>
      <c r="D5" s="309"/>
      <c r="E5" s="309"/>
      <c r="F5" s="309"/>
      <c r="G5" s="310"/>
      <c r="H5" s="311"/>
      <c r="I5" s="311"/>
      <c r="J5" s="311"/>
      <c r="K5" s="5"/>
      <c r="L5" s="5"/>
      <c r="M5" s="5"/>
      <c r="N5" s="382" t="str">
        <f>IF(N1="FAIL","Head","")</f>
        <v/>
      </c>
      <c r="P5" s="7"/>
      <c r="U5" s="7"/>
      <c r="V5" s="7"/>
      <c r="X5" s="7"/>
    </row>
    <row r="6" spans="1:26" customFormat="1" ht="12.75" customHeight="1" thickBot="1" x14ac:dyDescent="0.3">
      <c r="A6" s="307" t="s">
        <v>723</v>
      </c>
      <c r="B6" s="331"/>
      <c r="C6" s="394" t="s">
        <v>724</v>
      </c>
      <c r="D6" s="394"/>
      <c r="E6" s="333"/>
      <c r="F6" s="333"/>
      <c r="G6" s="334"/>
      <c r="H6" s="320">
        <v>0</v>
      </c>
      <c r="I6" s="320">
        <v>0</v>
      </c>
      <c r="J6" s="355">
        <v>0</v>
      </c>
      <c r="K6" s="46"/>
      <c r="L6" s="46"/>
      <c r="M6" s="595"/>
      <c r="N6" s="156" t="str">
        <f t="shared" ref="N6:N11" si="0">IF(I6&lt;&gt;J6,A6&amp;" ("&amp;I6&amp;", "&amp;J6&amp;")"&amp;", ","")</f>
        <v/>
      </c>
      <c r="O6" s="7" t="str">
        <f>IF(OR(AND(SUM(Table_9_UK!H6)&lt;&gt;0,ISBLANK(Table_9_UK!K6))),"Fail", "Pass")</f>
        <v>Pass</v>
      </c>
      <c r="P6" s="7" t="str">
        <f t="shared" ref="P6:P11" si="1">"Head "&amp;A6&amp;", "</f>
        <v xml:space="preserve">Head 1a, </v>
      </c>
      <c r="Q6" s="5" t="str">
        <f t="shared" ref="Q6:Q11" si="2">IF(O6 = "Fail", P6, "")</f>
        <v/>
      </c>
      <c r="R6" s="7" t="str">
        <f t="shared" ref="R6:R11" si="3">IF(AND(SUM(H6)=0,NOT(ISBLANK(K6))),"Fail","Pass")</f>
        <v>Pass</v>
      </c>
      <c r="S6" s="7" t="str">
        <f t="shared" ref="S6:S11" si="4">"Head "&amp;A6&amp;" ("&amp;H6&amp;"), "</f>
        <v xml:space="preserve">Head 1a (0), </v>
      </c>
      <c r="T6" s="5" t="str">
        <f t="shared" ref="T6:T11" si="5">IF(R6 = "Fail", S6, "")</f>
        <v/>
      </c>
      <c r="U6" s="7" t="str">
        <f>IF(OR(AND(SUM(Table_9_UK!I6)&lt;&gt;0,ISBLANK(Table_9_UK!L6))),"Fail", "Pass")</f>
        <v>Pass</v>
      </c>
      <c r="V6" s="7" t="str">
        <f t="shared" ref="V6:V11" si="6">"Head "&amp;A6&amp;", "</f>
        <v xml:space="preserve">Head 1a, </v>
      </c>
      <c r="W6" s="5" t="str">
        <f t="shared" ref="W6:W11" si="7">IF(U6 = "Fail", V6, "")</f>
        <v/>
      </c>
      <c r="X6" s="7" t="str">
        <f t="shared" ref="X6:X11" si="8">IF(AND(SUM(I6)=0,NOT(ISBLANK(L6))),"Fail","Pass")</f>
        <v>Pass</v>
      </c>
      <c r="Y6" s="7" t="str">
        <f t="shared" ref="Y6:Y11" si="9">"Head "&amp;A6&amp;" ("&amp;I6&amp;"), "</f>
        <v xml:space="preserve">Head 1a (0), </v>
      </c>
      <c r="Z6" s="5" t="str">
        <f t="shared" ref="Z6:Z11" si="10">IF(X6 = "Fail", Y6, "")</f>
        <v/>
      </c>
    </row>
    <row r="7" spans="1:26" customFormat="1" ht="12.75" customHeight="1" thickBot="1" x14ac:dyDescent="0.3">
      <c r="A7" s="307" t="s">
        <v>725</v>
      </c>
      <c r="B7" s="331"/>
      <c r="C7" s="394" t="s">
        <v>726</v>
      </c>
      <c r="D7" s="394"/>
      <c r="E7" s="333"/>
      <c r="F7" s="333"/>
      <c r="G7" s="334"/>
      <c r="H7" s="320">
        <v>0</v>
      </c>
      <c r="I7" s="320">
        <v>0</v>
      </c>
      <c r="J7" s="355">
        <v>0</v>
      </c>
      <c r="K7" s="46"/>
      <c r="L7" s="46"/>
      <c r="M7" s="595"/>
      <c r="N7" s="156" t="str">
        <f t="shared" si="0"/>
        <v/>
      </c>
      <c r="O7" s="7" t="str">
        <f>IF(OR(AND(SUM(Table_9_UK!H7)&lt;&gt;0,ISBLANK(Table_9_UK!K7))),"Fail", "Pass")</f>
        <v>Pass</v>
      </c>
      <c r="P7" s="7" t="str">
        <f t="shared" si="1"/>
        <v xml:space="preserve">Head 1b, </v>
      </c>
      <c r="Q7" s="5" t="str">
        <f t="shared" si="2"/>
        <v/>
      </c>
      <c r="R7" s="7" t="str">
        <f t="shared" si="3"/>
        <v>Pass</v>
      </c>
      <c r="S7" s="7" t="str">
        <f t="shared" si="4"/>
        <v xml:space="preserve">Head 1b (0), </v>
      </c>
      <c r="T7" s="5" t="str">
        <f t="shared" si="5"/>
        <v/>
      </c>
      <c r="U7" s="7" t="str">
        <f>IF(OR(AND(SUM(Table_9_UK!I7)&lt;&gt;0,ISBLANK(Table_9_UK!L7))),"Fail", "Pass")</f>
        <v>Pass</v>
      </c>
      <c r="V7" s="7" t="str">
        <f t="shared" si="6"/>
        <v xml:space="preserve">Head 1b, </v>
      </c>
      <c r="W7" s="5" t="str">
        <f t="shared" si="7"/>
        <v/>
      </c>
      <c r="X7" s="7" t="str">
        <f t="shared" si="8"/>
        <v>Pass</v>
      </c>
      <c r="Y7" s="7" t="str">
        <f t="shared" si="9"/>
        <v xml:space="preserve">Head 1b (0), </v>
      </c>
      <c r="Z7" s="5" t="str">
        <f t="shared" si="10"/>
        <v/>
      </c>
    </row>
    <row r="8" spans="1:26" customFormat="1" ht="12.75" customHeight="1" thickBot="1" x14ac:dyDescent="0.3">
      <c r="A8" s="307" t="s">
        <v>727</v>
      </c>
      <c r="B8" s="331"/>
      <c r="C8" s="394" t="s">
        <v>728</v>
      </c>
      <c r="D8" s="394"/>
      <c r="E8" s="333"/>
      <c r="F8" s="333"/>
      <c r="G8" s="334"/>
      <c r="H8" s="320">
        <v>0</v>
      </c>
      <c r="I8" s="320">
        <v>0</v>
      </c>
      <c r="J8" s="355">
        <v>0</v>
      </c>
      <c r="K8" s="46"/>
      <c r="L8" s="46"/>
      <c r="M8" s="595"/>
      <c r="N8" s="156" t="str">
        <f t="shared" si="0"/>
        <v/>
      </c>
      <c r="O8" s="7" t="str">
        <f>IF(OR(AND(SUM(Table_9_UK!H8)&lt;&gt;0,ISBLANK(Table_9_UK!K8))),"Fail", "Pass")</f>
        <v>Pass</v>
      </c>
      <c r="P8" s="7" t="str">
        <f t="shared" si="1"/>
        <v xml:space="preserve">Head 1c, </v>
      </c>
      <c r="Q8" s="5" t="str">
        <f t="shared" si="2"/>
        <v/>
      </c>
      <c r="R8" s="7" t="str">
        <f t="shared" si="3"/>
        <v>Pass</v>
      </c>
      <c r="S8" s="7" t="str">
        <f t="shared" si="4"/>
        <v xml:space="preserve">Head 1c (0), </v>
      </c>
      <c r="T8" s="5" t="str">
        <f t="shared" si="5"/>
        <v/>
      </c>
      <c r="U8" s="7" t="str">
        <f>IF(OR(AND(SUM(Table_9_UK!I8)&lt;&gt;0,ISBLANK(Table_9_UK!L8))),"Fail", "Pass")</f>
        <v>Pass</v>
      </c>
      <c r="V8" s="7" t="str">
        <f t="shared" si="6"/>
        <v xml:space="preserve">Head 1c, </v>
      </c>
      <c r="W8" s="5" t="str">
        <f t="shared" si="7"/>
        <v/>
      </c>
      <c r="X8" s="7" t="str">
        <f t="shared" si="8"/>
        <v>Pass</v>
      </c>
      <c r="Y8" s="7" t="str">
        <f t="shared" si="9"/>
        <v xml:space="preserve">Head 1c (0), </v>
      </c>
      <c r="Z8" s="5" t="str">
        <f t="shared" si="10"/>
        <v/>
      </c>
    </row>
    <row r="9" spans="1:26" customFormat="1" ht="12.75" customHeight="1" thickBot="1" x14ac:dyDescent="0.3">
      <c r="A9" s="307" t="s">
        <v>729</v>
      </c>
      <c r="B9" s="331"/>
      <c r="C9" s="394" t="s">
        <v>730</v>
      </c>
      <c r="D9" s="394"/>
      <c r="E9" s="333"/>
      <c r="F9" s="333"/>
      <c r="G9" s="334"/>
      <c r="H9" s="320">
        <v>0</v>
      </c>
      <c r="I9" s="320">
        <v>0</v>
      </c>
      <c r="J9" s="355">
        <v>0</v>
      </c>
      <c r="K9" s="46"/>
      <c r="L9" s="46"/>
      <c r="M9" s="595"/>
      <c r="N9" s="156" t="str">
        <f t="shared" si="0"/>
        <v/>
      </c>
      <c r="O9" s="7" t="str">
        <f>IF(OR(AND(SUM(Table_9_UK!H9)&lt;&gt;0,ISBLANK(Table_9_UK!K9))),"Fail", "Pass")</f>
        <v>Pass</v>
      </c>
      <c r="P9" s="7" t="str">
        <f t="shared" si="1"/>
        <v xml:space="preserve">Head 1d, </v>
      </c>
      <c r="Q9" s="5" t="str">
        <f t="shared" si="2"/>
        <v/>
      </c>
      <c r="R9" s="7" t="str">
        <f t="shared" si="3"/>
        <v>Pass</v>
      </c>
      <c r="S9" s="7" t="str">
        <f t="shared" si="4"/>
        <v xml:space="preserve">Head 1d (0), </v>
      </c>
      <c r="T9" s="5" t="str">
        <f t="shared" si="5"/>
        <v/>
      </c>
      <c r="U9" s="7" t="str">
        <f>IF(OR(AND(SUM(Table_9_UK!I9)&lt;&gt;0,ISBLANK(Table_9_UK!L9))),"Fail", "Pass")</f>
        <v>Pass</v>
      </c>
      <c r="V9" s="7" t="str">
        <f t="shared" si="6"/>
        <v xml:space="preserve">Head 1d, </v>
      </c>
      <c r="W9" s="5" t="str">
        <f t="shared" si="7"/>
        <v/>
      </c>
      <c r="X9" s="7" t="str">
        <f t="shared" si="8"/>
        <v>Pass</v>
      </c>
      <c r="Y9" s="7" t="str">
        <f t="shared" si="9"/>
        <v xml:space="preserve">Head 1d (0), </v>
      </c>
      <c r="Z9" s="5" t="str">
        <f t="shared" si="10"/>
        <v/>
      </c>
    </row>
    <row r="10" spans="1:26" customFormat="1" ht="12.75" customHeight="1" thickBot="1" x14ac:dyDescent="0.3">
      <c r="A10" s="307" t="s">
        <v>731</v>
      </c>
      <c r="B10" s="331"/>
      <c r="C10" s="394" t="s">
        <v>732</v>
      </c>
      <c r="D10" s="394"/>
      <c r="E10" s="333"/>
      <c r="F10" s="333"/>
      <c r="G10" s="334"/>
      <c r="H10" s="320">
        <v>0</v>
      </c>
      <c r="I10" s="320">
        <v>0</v>
      </c>
      <c r="J10" s="355">
        <v>0</v>
      </c>
      <c r="K10" s="46"/>
      <c r="L10" s="46"/>
      <c r="M10" s="595"/>
      <c r="N10" s="156" t="str">
        <f t="shared" si="0"/>
        <v/>
      </c>
      <c r="O10" s="7" t="str">
        <f>IF(OR(AND(SUM(Table_9_UK!H10)&lt;&gt;0,ISBLANK(Table_9_UK!K10))),"Fail", "Pass")</f>
        <v>Pass</v>
      </c>
      <c r="P10" s="7" t="str">
        <f t="shared" si="1"/>
        <v xml:space="preserve">Head 1e, </v>
      </c>
      <c r="Q10" s="5" t="str">
        <f t="shared" si="2"/>
        <v/>
      </c>
      <c r="R10" s="7" t="str">
        <f t="shared" si="3"/>
        <v>Pass</v>
      </c>
      <c r="S10" s="7" t="str">
        <f t="shared" si="4"/>
        <v xml:space="preserve">Head 1e (0), </v>
      </c>
      <c r="T10" s="5" t="str">
        <f t="shared" si="5"/>
        <v/>
      </c>
      <c r="U10" s="7" t="str">
        <f>IF(OR(AND(SUM(Table_9_UK!I10)&lt;&gt;0,ISBLANK(Table_9_UK!L10))),"Fail", "Pass")</f>
        <v>Pass</v>
      </c>
      <c r="V10" s="7" t="str">
        <f t="shared" si="6"/>
        <v xml:space="preserve">Head 1e, </v>
      </c>
      <c r="W10" s="5" t="str">
        <f t="shared" si="7"/>
        <v/>
      </c>
      <c r="X10" s="7" t="str">
        <f t="shared" si="8"/>
        <v>Pass</v>
      </c>
      <c r="Y10" s="7" t="str">
        <f t="shared" si="9"/>
        <v xml:space="preserve">Head 1e (0), </v>
      </c>
      <c r="Z10" s="5" t="str">
        <f t="shared" si="10"/>
        <v/>
      </c>
    </row>
    <row r="11" spans="1:26" customFormat="1" ht="12.75" customHeight="1" thickBot="1" x14ac:dyDescent="0.3">
      <c r="A11" s="307" t="s">
        <v>733</v>
      </c>
      <c r="B11" s="12"/>
      <c r="C11" s="330" t="s">
        <v>734</v>
      </c>
      <c r="D11" s="333"/>
      <c r="E11" s="333"/>
      <c r="F11" s="333"/>
      <c r="G11" s="334"/>
      <c r="H11" s="320">
        <v>0</v>
      </c>
      <c r="I11" s="320">
        <v>0</v>
      </c>
      <c r="J11" s="355">
        <v>0</v>
      </c>
      <c r="K11" s="48"/>
      <c r="L11" s="46"/>
      <c r="M11" s="595"/>
      <c r="N11" s="156" t="str">
        <f t="shared" si="0"/>
        <v/>
      </c>
      <c r="O11" s="7" t="str">
        <f>IF(OR(AND(SUM(Table_9_UK!H11)&lt;&gt;0,ISBLANK(Table_9_UK!K11))),"Fail", "Pass")</f>
        <v>Pass</v>
      </c>
      <c r="P11" s="7" t="str">
        <f t="shared" si="1"/>
        <v xml:space="preserve">Head 1f, </v>
      </c>
      <c r="Q11" s="5" t="str">
        <f t="shared" si="2"/>
        <v/>
      </c>
      <c r="R11" s="7" t="str">
        <f t="shared" si="3"/>
        <v>Pass</v>
      </c>
      <c r="S11" s="7" t="str">
        <f t="shared" si="4"/>
        <v xml:space="preserve">Head 1f (0), </v>
      </c>
      <c r="T11" s="5" t="str">
        <f t="shared" si="5"/>
        <v/>
      </c>
      <c r="U11" s="7" t="str">
        <f>IF(OR(AND(SUM(Table_9_UK!I11)&lt;&gt;0,ISBLANK(Table_9_UK!L11))),"Fail", "Pass")</f>
        <v>Pass</v>
      </c>
      <c r="V11" s="7" t="str">
        <f t="shared" si="6"/>
        <v xml:space="preserve">Head 1f, </v>
      </c>
      <c r="W11" s="5" t="str">
        <f t="shared" si="7"/>
        <v/>
      </c>
      <c r="X11" s="7" t="str">
        <f t="shared" si="8"/>
        <v>Pass</v>
      </c>
      <c r="Y11" s="7" t="str">
        <f t="shared" si="9"/>
        <v xml:space="preserve">Head 1f (0), </v>
      </c>
      <c r="Z11" s="5" t="str">
        <f t="shared" si="10"/>
        <v/>
      </c>
    </row>
    <row r="12" spans="1:26" customFormat="1" ht="12.75" customHeight="1" x14ac:dyDescent="0.25">
      <c r="A12" s="307" t="s">
        <v>735</v>
      </c>
      <c r="B12" s="335" t="s">
        <v>736</v>
      </c>
      <c r="C12" s="336"/>
      <c r="D12" s="336"/>
      <c r="E12" s="336"/>
      <c r="F12" s="336"/>
      <c r="G12" s="337"/>
      <c r="H12" s="324"/>
      <c r="I12" s="324"/>
      <c r="J12" s="324"/>
      <c r="K12" s="25"/>
      <c r="L12" s="25"/>
      <c r="M12" s="6"/>
      <c r="P12" s="7"/>
      <c r="U12" s="7"/>
      <c r="V12" s="7"/>
      <c r="X12" s="7"/>
    </row>
    <row r="13" spans="1:26" customFormat="1" ht="12.75" customHeight="1" x14ac:dyDescent="0.25">
      <c r="A13" s="307"/>
      <c r="B13" s="348"/>
      <c r="C13" s="330"/>
      <c r="D13" s="330"/>
      <c r="E13" s="330"/>
      <c r="F13" s="330"/>
      <c r="G13" s="332"/>
      <c r="H13" s="328"/>
      <c r="I13" s="328"/>
      <c r="J13" s="328"/>
      <c r="K13" s="6"/>
      <c r="L13" s="6"/>
      <c r="M13" s="6"/>
      <c r="P13" s="7"/>
      <c r="U13" s="7"/>
      <c r="V13" s="7"/>
      <c r="X13" s="7"/>
    </row>
    <row r="14" spans="1:26" customFormat="1" ht="12.75" customHeight="1" thickBot="1" x14ac:dyDescent="0.3">
      <c r="A14" s="307">
        <v>2</v>
      </c>
      <c r="B14" s="357" t="s">
        <v>737</v>
      </c>
      <c r="C14" s="358"/>
      <c r="D14" s="358"/>
      <c r="E14" s="358"/>
      <c r="F14" s="358"/>
      <c r="G14" s="359"/>
      <c r="H14" s="329"/>
      <c r="I14" s="329"/>
      <c r="J14" s="329"/>
      <c r="K14" s="26"/>
      <c r="L14" s="26"/>
      <c r="M14" s="6"/>
      <c r="P14" s="7"/>
      <c r="U14" s="7"/>
      <c r="V14" s="7"/>
      <c r="X14" s="7"/>
    </row>
    <row r="15" spans="1:26" customFormat="1" ht="12.75" customHeight="1" thickBot="1" x14ac:dyDescent="0.3">
      <c r="A15" s="307" t="s">
        <v>738</v>
      </c>
      <c r="B15" s="331"/>
      <c r="C15" s="326" t="s">
        <v>739</v>
      </c>
      <c r="D15" s="333"/>
      <c r="E15" s="333"/>
      <c r="F15" s="333"/>
      <c r="G15" s="334"/>
      <c r="H15" s="320">
        <v>-143953</v>
      </c>
      <c r="I15" s="320">
        <v>195209</v>
      </c>
      <c r="J15" s="355">
        <v>195209</v>
      </c>
      <c r="K15" s="46" t="s">
        <v>1272</v>
      </c>
      <c r="L15" s="46" t="s">
        <v>1272</v>
      </c>
      <c r="M15" s="595"/>
      <c r="N15" s="156" t="str">
        <f>IF(I15&lt;&gt;J15,A15&amp;" ("&amp;I15&amp;", "&amp;J15&amp;")"&amp;", ","")</f>
        <v/>
      </c>
      <c r="O15" s="7" t="str">
        <f>IF(OR(AND(SUM(Table_9_UK!H15)&lt;&gt;0,ISBLANK(Table_9_UK!K15))),"Fail", "Pass")</f>
        <v>Pass</v>
      </c>
      <c r="P15" s="7" t="str">
        <f>"Head "&amp;A15&amp;", "</f>
        <v xml:space="preserve">Head 2a, </v>
      </c>
      <c r="Q15" s="5" t="str">
        <f>IF(O15 = "Fail", P15, "")</f>
        <v/>
      </c>
      <c r="R15" s="7" t="str">
        <f>IF(AND(SUM(H15)=0,NOT(ISBLANK(K15))),"Fail","Pass")</f>
        <v>Pass</v>
      </c>
      <c r="S15" s="7" t="str">
        <f>"Head "&amp;A15&amp;" ("&amp;H15&amp;"), "</f>
        <v xml:space="preserve">Head 2a (-143953), </v>
      </c>
      <c r="T15" s="5" t="str">
        <f>IF(R15 = "Fail", S15, "")</f>
        <v/>
      </c>
      <c r="U15" s="7" t="str">
        <f>IF(OR(AND(SUM(Table_9_UK!I15)&lt;&gt;0,ISBLANK(Table_9_UK!L15))),"Fail", "Pass")</f>
        <v>Pass</v>
      </c>
      <c r="V15" s="7" t="str">
        <f>"Head "&amp;A15&amp;", "</f>
        <v xml:space="preserve">Head 2a, </v>
      </c>
      <c r="W15" s="5" t="str">
        <f>IF(U15 = "Fail", V15, "")</f>
        <v/>
      </c>
      <c r="X15" s="7" t="str">
        <f>IF(AND(SUM(I15)=0,NOT(ISBLANK(L15))),"Fail","Pass")</f>
        <v>Pass</v>
      </c>
      <c r="Y15" s="7" t="str">
        <f>"Head "&amp;A15&amp;" ("&amp;I15&amp;"), "</f>
        <v xml:space="preserve">Head 2a (195209), </v>
      </c>
      <c r="Z15" s="5" t="str">
        <f>IF(X15 = "Fail", Y15, "")</f>
        <v/>
      </c>
    </row>
    <row r="16" spans="1:26" customFormat="1" ht="12.75" customHeight="1" thickBot="1" x14ac:dyDescent="0.3">
      <c r="A16" s="307" t="s">
        <v>740</v>
      </c>
      <c r="B16" s="331"/>
      <c r="C16" s="330" t="s">
        <v>741</v>
      </c>
      <c r="D16" s="333"/>
      <c r="E16" s="333"/>
      <c r="F16" s="333"/>
      <c r="G16" s="334"/>
      <c r="H16" s="320">
        <v>0</v>
      </c>
      <c r="I16" s="320">
        <v>0</v>
      </c>
      <c r="J16" s="355">
        <v>0</v>
      </c>
      <c r="K16" s="46"/>
      <c r="L16" s="46"/>
      <c r="M16" s="595"/>
      <c r="N16" s="156" t="str">
        <f>IF(I16&lt;&gt;J16,A16&amp;" ("&amp;I16&amp;", "&amp;J16&amp;")"&amp;", ","")</f>
        <v/>
      </c>
      <c r="O16" s="7" t="str">
        <f>IF(OR(AND(SUM(Table_9_UK!H16)&lt;&gt;0,ISBLANK(Table_9_UK!K16))),"Fail", "Pass")</f>
        <v>Pass</v>
      </c>
      <c r="P16" s="7" t="str">
        <f>"Head "&amp;A16&amp;", "</f>
        <v xml:space="preserve">Head 2b, </v>
      </c>
      <c r="Q16" s="5" t="str">
        <f>IF(O16 = "Fail", P16, "")</f>
        <v/>
      </c>
      <c r="R16" s="7" t="str">
        <f>IF(AND(SUM(H16)=0,NOT(ISBLANK(K16))),"Fail","Pass")</f>
        <v>Pass</v>
      </c>
      <c r="S16" s="7" t="str">
        <f>"Head "&amp;A16&amp;" ("&amp;H16&amp;"), "</f>
        <v xml:space="preserve">Head 2b (0), </v>
      </c>
      <c r="T16" s="5" t="str">
        <f>IF(R16 = "Fail", S16, "")</f>
        <v/>
      </c>
      <c r="U16" s="7" t="str">
        <f>IF(OR(AND(SUM(Table_9_UK!I16)&lt;&gt;0,ISBLANK(Table_9_UK!L16))),"Fail", "Pass")</f>
        <v>Pass</v>
      </c>
      <c r="V16" s="7" t="str">
        <f>"Head "&amp;A16&amp;", "</f>
        <v xml:space="preserve">Head 2b, </v>
      </c>
      <c r="W16" s="5" t="str">
        <f>IF(U16 = "Fail", V16, "")</f>
        <v/>
      </c>
      <c r="X16" s="7" t="str">
        <f>IF(AND(SUM(I16)=0,NOT(ISBLANK(L16))),"Fail","Pass")</f>
        <v>Pass</v>
      </c>
      <c r="Y16" s="7" t="str">
        <f>"Head "&amp;A16&amp;" ("&amp;I16&amp;"), "</f>
        <v xml:space="preserve">Head 2b (0), </v>
      </c>
      <c r="Z16" s="5" t="str">
        <f>IF(X16 = "Fail", Y16, "")</f>
        <v/>
      </c>
    </row>
    <row r="17" spans="1:26" customFormat="1" ht="12.75" customHeight="1" thickBot="1" x14ac:dyDescent="0.3">
      <c r="A17" s="307" t="s">
        <v>742</v>
      </c>
      <c r="B17" s="11"/>
      <c r="C17" s="327" t="s">
        <v>743</v>
      </c>
      <c r="D17" s="333"/>
      <c r="E17" s="333"/>
      <c r="F17" s="333"/>
      <c r="G17" s="334"/>
      <c r="H17" s="320">
        <v>0</v>
      </c>
      <c r="I17" s="320">
        <v>0</v>
      </c>
      <c r="J17" s="355">
        <v>0</v>
      </c>
      <c r="K17" s="46"/>
      <c r="L17" s="46"/>
      <c r="M17" s="595"/>
      <c r="N17" s="156" t="str">
        <f>IF(I17&lt;&gt;J17,A17&amp;" ("&amp;I17&amp;", "&amp;J17&amp;")"&amp;", ","")</f>
        <v/>
      </c>
      <c r="O17" s="7" t="str">
        <f>IF(OR(AND(SUM(Table_9_UK!H17)&lt;&gt;0,ISBLANK(Table_9_UK!K17))),"Fail", "Pass")</f>
        <v>Pass</v>
      </c>
      <c r="P17" s="7" t="str">
        <f>"Head "&amp;A17&amp;", "</f>
        <v xml:space="preserve">Head 2c, </v>
      </c>
      <c r="Q17" s="5" t="str">
        <f>IF(O17 = "Fail", P17, "")</f>
        <v/>
      </c>
      <c r="R17" s="7" t="str">
        <f>IF(AND(SUM(H17)=0,NOT(ISBLANK(K17))),"Fail","Pass")</f>
        <v>Pass</v>
      </c>
      <c r="S17" s="7" t="str">
        <f>"Head "&amp;A17&amp;" ("&amp;H17&amp;"), "</f>
        <v xml:space="preserve">Head 2c (0), </v>
      </c>
      <c r="T17" s="5" t="str">
        <f>IF(R17 = "Fail", S17, "")</f>
        <v/>
      </c>
      <c r="U17" s="7" t="str">
        <f>IF(OR(AND(SUM(Table_9_UK!I17)&lt;&gt;0,ISBLANK(Table_9_UK!L17))),"Fail", "Pass")</f>
        <v>Pass</v>
      </c>
      <c r="V17" s="7" t="str">
        <f>"Head "&amp;A17&amp;", "</f>
        <v xml:space="preserve">Head 2c, </v>
      </c>
      <c r="W17" s="5" t="str">
        <f>IF(U17 = "Fail", V17, "")</f>
        <v/>
      </c>
      <c r="X17" s="7" t="str">
        <f>IF(AND(SUM(I17)=0,NOT(ISBLANK(L17))),"Fail","Pass")</f>
        <v>Pass</v>
      </c>
      <c r="Y17" s="7" t="str">
        <f>"Head "&amp;A17&amp;" ("&amp;I17&amp;"), "</f>
        <v xml:space="preserve">Head 2c (0), </v>
      </c>
      <c r="Z17" s="5" t="str">
        <f>IF(X17 = "Fail", Y17, "")</f>
        <v/>
      </c>
    </row>
    <row r="18" spans="1:26" customFormat="1" ht="12.75" customHeight="1" thickBot="1" x14ac:dyDescent="0.3">
      <c r="A18" s="307" t="s">
        <v>744</v>
      </c>
      <c r="B18" s="331"/>
      <c r="C18" s="332" t="s">
        <v>745</v>
      </c>
      <c r="D18" s="333"/>
      <c r="E18" s="333"/>
      <c r="F18" s="333"/>
      <c r="G18" s="334"/>
      <c r="H18" s="320">
        <v>0</v>
      </c>
      <c r="I18" s="320">
        <v>0</v>
      </c>
      <c r="J18" s="355">
        <v>0</v>
      </c>
      <c r="K18" s="46"/>
      <c r="L18" s="46"/>
      <c r="M18" s="595"/>
      <c r="N18" s="156" t="str">
        <f>IF(I18&lt;&gt;J18,A18&amp;" ("&amp;I18&amp;", "&amp;J18&amp;")"&amp;", ","")</f>
        <v/>
      </c>
      <c r="O18" s="7" t="str">
        <f>IF(OR(AND(SUM(Table_9_UK!H18)&lt;&gt;0,ISBLANK(Table_9_UK!K18))),"Fail", "Pass")</f>
        <v>Pass</v>
      </c>
      <c r="P18" s="7" t="str">
        <f>"Head "&amp;A18&amp;", "</f>
        <v xml:space="preserve">Head 2d, </v>
      </c>
      <c r="Q18" s="5" t="str">
        <f>IF(O18 = "Fail", P18, "")</f>
        <v/>
      </c>
      <c r="R18" s="7" t="str">
        <f>IF(AND(SUM(H18)=0,NOT(ISBLANK(K18))),"Fail","Pass")</f>
        <v>Pass</v>
      </c>
      <c r="S18" s="7" t="str">
        <f>"Head "&amp;A18&amp;" ("&amp;H18&amp;"), "</f>
        <v xml:space="preserve">Head 2d (0), </v>
      </c>
      <c r="T18" s="5" t="str">
        <f>IF(R18 = "Fail", S18, "")</f>
        <v/>
      </c>
      <c r="U18" s="7" t="str">
        <f>IF(OR(AND(SUM(Table_9_UK!I18)&lt;&gt;0,ISBLANK(Table_9_UK!L18))),"Fail", "Pass")</f>
        <v>Pass</v>
      </c>
      <c r="V18" s="7" t="str">
        <f>"Head "&amp;A18&amp;", "</f>
        <v xml:space="preserve">Head 2d, </v>
      </c>
      <c r="W18" s="5" t="str">
        <f>IF(U18 = "Fail", V18, "")</f>
        <v/>
      </c>
      <c r="X18" s="7" t="str">
        <f>IF(AND(SUM(I18)=0,NOT(ISBLANK(L18))),"Fail","Pass")</f>
        <v>Pass</v>
      </c>
      <c r="Y18" s="7" t="str">
        <f>"Head "&amp;A18&amp;" ("&amp;I18&amp;"), "</f>
        <v xml:space="preserve">Head 2d (0), </v>
      </c>
      <c r="Z18" s="5" t="str">
        <f>IF(X18 = "Fail", Y18, "")</f>
        <v/>
      </c>
    </row>
    <row r="19" spans="1:26" customFormat="1" ht="12.75" customHeight="1" thickBot="1" x14ac:dyDescent="0.3">
      <c r="A19" s="307" t="s">
        <v>746</v>
      </c>
      <c r="B19" s="11"/>
      <c r="C19" s="327" t="s">
        <v>747</v>
      </c>
      <c r="D19" s="333"/>
      <c r="E19" s="333"/>
      <c r="F19" s="333"/>
      <c r="G19" s="334"/>
      <c r="H19" s="320">
        <v>0</v>
      </c>
      <c r="I19" s="320">
        <v>13784</v>
      </c>
      <c r="J19" s="355">
        <v>13784</v>
      </c>
      <c r="K19" s="47"/>
      <c r="L19" s="47" t="s">
        <v>1273</v>
      </c>
      <c r="M19" s="596" t="s">
        <v>342</v>
      </c>
      <c r="N19" s="156" t="str">
        <f>IF(I19&lt;&gt;J19,A19&amp;" ("&amp;I19&amp;", "&amp;J19&amp;")"&amp;", ","")</f>
        <v/>
      </c>
      <c r="O19" s="7" t="str">
        <f>IF(OR(AND(SUM(Table_9_UK!H19)&lt;&gt;0,ISBLANK(Table_9_UK!K19))),"Fail", "Pass")</f>
        <v>Pass</v>
      </c>
      <c r="P19" s="7" t="str">
        <f>"Head "&amp;A19&amp;", "</f>
        <v xml:space="preserve">Head 2e, </v>
      </c>
      <c r="Q19" s="5" t="str">
        <f>IF(O19 = "Fail", P19, "")</f>
        <v/>
      </c>
      <c r="R19" s="7" t="str">
        <f>IF(AND(SUM(H19)=0,NOT(ISBLANK(K19))),"Fail","Pass")</f>
        <v>Pass</v>
      </c>
      <c r="S19" s="7" t="str">
        <f>"Head "&amp;A19&amp;" ("&amp;H19&amp;"), "</f>
        <v xml:space="preserve">Head 2e (0), </v>
      </c>
      <c r="T19" s="5" t="str">
        <f>IF(R19 = "Fail", S19, "")</f>
        <v/>
      </c>
      <c r="U19" s="7" t="str">
        <f>IF(OR(AND(SUM(Table_9_UK!I19)&lt;&gt;0,ISBLANK(Table_9_UK!L19))),"Fail", "Pass")</f>
        <v>Pass</v>
      </c>
      <c r="V19" s="7" t="str">
        <f>"Head "&amp;A19&amp;", "</f>
        <v xml:space="preserve">Head 2e, </v>
      </c>
      <c r="W19" s="5" t="str">
        <f>IF(U19 = "Fail", V19, "")</f>
        <v/>
      </c>
      <c r="X19" s="7" t="str">
        <f>IF(AND(SUM(I19)=0,NOT(ISBLANK(L19))),"Fail","Pass")</f>
        <v>Pass</v>
      </c>
      <c r="Y19" s="7" t="str">
        <f>"Head "&amp;A19&amp;" ("&amp;I19&amp;"), "</f>
        <v xml:space="preserve">Head 2e (13784), </v>
      </c>
      <c r="Z19" s="5" t="str">
        <f>IF(X19 = "Fail", Y19, "")</f>
        <v/>
      </c>
    </row>
    <row r="20" spans="1:26" customFormat="1" ht="12.75" customHeight="1" x14ac:dyDescent="0.25">
      <c r="A20" s="307" t="s">
        <v>748</v>
      </c>
      <c r="B20" s="335" t="s">
        <v>749</v>
      </c>
      <c r="C20" s="336"/>
      <c r="D20" s="336"/>
      <c r="E20" s="336"/>
      <c r="F20" s="336"/>
      <c r="G20" s="337"/>
      <c r="H20" s="324"/>
      <c r="I20" s="324"/>
      <c r="J20" s="324"/>
      <c r="K20" s="25"/>
      <c r="L20" s="25"/>
      <c r="M20" s="6"/>
      <c r="P20" s="7"/>
      <c r="U20" s="7"/>
      <c r="V20" s="7"/>
      <c r="X20" s="7"/>
    </row>
    <row r="21" spans="1:26" customFormat="1" ht="12.75" customHeight="1" x14ac:dyDescent="0.25">
      <c r="A21" s="307"/>
      <c r="B21" s="12"/>
      <c r="C21" s="333"/>
      <c r="D21" s="333"/>
      <c r="E21" s="333"/>
      <c r="F21" s="333"/>
      <c r="G21" s="334"/>
      <c r="H21" s="2"/>
      <c r="I21" s="2"/>
      <c r="J21" s="2"/>
      <c r="K21" s="6"/>
      <c r="L21" s="6"/>
      <c r="M21" s="6"/>
      <c r="P21" s="7"/>
      <c r="U21" s="7"/>
      <c r="V21" s="7"/>
      <c r="X21" s="7"/>
    </row>
    <row r="22" spans="1:26" customFormat="1" ht="25.5" customHeight="1" x14ac:dyDescent="0.25">
      <c r="A22" s="307">
        <v>3</v>
      </c>
      <c r="B22" s="736" t="s">
        <v>750</v>
      </c>
      <c r="C22" s="737"/>
      <c r="D22" s="737"/>
      <c r="E22" s="737"/>
      <c r="F22" s="737"/>
      <c r="G22" s="738"/>
      <c r="H22" s="324"/>
      <c r="I22" s="324"/>
      <c r="J22" s="324"/>
      <c r="K22" s="6"/>
      <c r="L22" s="6"/>
      <c r="M22" s="6"/>
      <c r="P22" s="7"/>
      <c r="U22" s="7"/>
      <c r="V22" s="7"/>
      <c r="X22" s="7"/>
    </row>
    <row r="23" spans="1:26" customFormat="1" ht="12.75" customHeight="1" thickBot="1" x14ac:dyDescent="0.3">
      <c r="A23" s="307"/>
      <c r="B23" s="348"/>
      <c r="C23" s="330"/>
      <c r="D23" s="330"/>
      <c r="E23" s="330"/>
      <c r="F23" s="330"/>
      <c r="G23" s="332"/>
      <c r="H23" s="328"/>
      <c r="I23" s="328"/>
      <c r="J23" s="328"/>
      <c r="K23" s="26"/>
      <c r="L23" s="26"/>
      <c r="M23" s="6"/>
      <c r="P23" s="7"/>
      <c r="U23" s="7"/>
      <c r="V23" s="7"/>
      <c r="X23" s="7"/>
    </row>
    <row r="24" spans="1:26" customFormat="1" ht="12.75" customHeight="1" thickBot="1" x14ac:dyDescent="0.3">
      <c r="A24" s="307">
        <v>4</v>
      </c>
      <c r="B24" s="341" t="s">
        <v>751</v>
      </c>
      <c r="C24" s="342"/>
      <c r="D24" s="342"/>
      <c r="E24" s="342"/>
      <c r="F24" s="342"/>
      <c r="G24" s="346"/>
      <c r="H24" s="320">
        <v>0</v>
      </c>
      <c r="I24" s="320">
        <v>0</v>
      </c>
      <c r="J24" s="355">
        <v>0</v>
      </c>
      <c r="K24" s="46"/>
      <c r="L24" s="46"/>
      <c r="M24" s="595"/>
      <c r="N24" s="156" t="str">
        <f>IF(I24&lt;&gt;J24,A24&amp;" ("&amp;I24&amp;", "&amp;J24&amp;")"&amp;", ","")</f>
        <v/>
      </c>
      <c r="O24" s="7" t="str">
        <f>IF(OR(AND(SUM(Table_9_UK!H24)&lt;&gt;0,ISBLANK(Table_9_UK!K24))),"Fail", "Pass")</f>
        <v>Pass</v>
      </c>
      <c r="P24" s="7" t="str">
        <f>"Head "&amp;A24&amp;", "</f>
        <v xml:space="preserve">Head 4, </v>
      </c>
      <c r="Q24" s="5" t="str">
        <f>IF(O24 = "Fail", P24, "")</f>
        <v/>
      </c>
      <c r="R24" s="7" t="str">
        <f>IF(AND(SUM(H24)=0,NOT(ISBLANK(K24))),"Fail","Pass")</f>
        <v>Pass</v>
      </c>
      <c r="S24" s="7" t="str">
        <f>"Head "&amp;A24&amp;" ("&amp;H24&amp;"), "</f>
        <v xml:space="preserve">Head 4 (0), </v>
      </c>
      <c r="T24" s="5" t="str">
        <f>IF(R24 = "Fail", S24, "")</f>
        <v/>
      </c>
      <c r="U24" s="7" t="str">
        <f>IF(OR(AND(SUM(Table_9_UK!I24)&lt;&gt;0,ISBLANK(Table_9_UK!L24))),"Fail", "Pass")</f>
        <v>Pass</v>
      </c>
      <c r="V24" s="7" t="str">
        <f>"Head "&amp;A24&amp;", "</f>
        <v xml:space="preserve">Head 4, </v>
      </c>
      <c r="W24" s="5" t="str">
        <f>IF(U24 = "Fail", V24, "")</f>
        <v/>
      </c>
      <c r="X24" s="7" t="str">
        <f>IF(AND(SUM(I24)=0,NOT(ISBLANK(L24))),"Fail","Pass")</f>
        <v>Pass</v>
      </c>
      <c r="Y24" s="7" t="str">
        <f>"Head "&amp;A24&amp;" ("&amp;I24&amp;"), "</f>
        <v xml:space="preserve">Head 4 (0), </v>
      </c>
      <c r="Z24" s="5" t="str">
        <f>IF(X24 = "Fail", Y24, "")</f>
        <v/>
      </c>
    </row>
    <row r="25" spans="1:26" customFormat="1" ht="12.75" customHeight="1" thickBot="1" x14ac:dyDescent="0.3">
      <c r="A25" s="345">
        <v>5</v>
      </c>
      <c r="B25" s="341" t="s">
        <v>752</v>
      </c>
      <c r="C25" s="342"/>
      <c r="D25" s="342"/>
      <c r="E25" s="342"/>
      <c r="F25" s="342"/>
      <c r="G25" s="346"/>
      <c r="H25" s="320">
        <v>0</v>
      </c>
      <c r="I25" s="320">
        <v>0</v>
      </c>
      <c r="J25" s="393">
        <v>0</v>
      </c>
      <c r="K25" s="46"/>
      <c r="L25" s="46"/>
      <c r="M25" s="595"/>
      <c r="O25" s="388"/>
      <c r="R25" s="5"/>
    </row>
    <row r="26" spans="1:26" customFormat="1" ht="12.75" customHeight="1" thickBot="1" x14ac:dyDescent="0.3">
      <c r="A26" s="345">
        <v>6</v>
      </c>
      <c r="B26" s="341" t="s">
        <v>753</v>
      </c>
      <c r="C26" s="342"/>
      <c r="D26" s="342"/>
      <c r="E26" s="342"/>
      <c r="F26" s="342"/>
      <c r="G26" s="346"/>
      <c r="H26" s="320">
        <v>0</v>
      </c>
      <c r="I26" s="320">
        <v>0</v>
      </c>
      <c r="J26" s="355">
        <v>0</v>
      </c>
      <c r="K26" s="46"/>
      <c r="L26" s="46"/>
      <c r="M26" s="595"/>
      <c r="N26" s="156" t="str">
        <f>IF(I26&lt;&gt;J26,A26&amp;" ("&amp;I26&amp;", "&amp;J26&amp;")"&amp;", ","")</f>
        <v/>
      </c>
      <c r="O26" s="7" t="str">
        <f>IF(OR(AND(SUM(Table_9_UK!H26)&lt;&gt;0,ISBLANK(Table_9_UK!K26))),"Fail", "Pass")</f>
        <v>Pass</v>
      </c>
      <c r="P26" s="7" t="str">
        <f>"Head "&amp;A26&amp;", "</f>
        <v xml:space="preserve">Head 6, </v>
      </c>
      <c r="Q26" s="5" t="str">
        <f>IF(O26 = "Fail", P26, "")</f>
        <v/>
      </c>
      <c r="R26" s="7" t="str">
        <f>IF(AND(SUM(H26)=0,NOT(ISBLANK(K26))),"Fail","Pass")</f>
        <v>Pass</v>
      </c>
      <c r="S26" s="7" t="str">
        <f>"Head "&amp;A26&amp;" ("&amp;H26&amp;"), "</f>
        <v xml:space="preserve">Head 6 (0), </v>
      </c>
      <c r="T26" s="5" t="str">
        <f>IF(R26 = "Fail", S26, "")</f>
        <v/>
      </c>
      <c r="U26" s="7" t="str">
        <f>IF(OR(AND(SUM(Table_9_UK!I26)&lt;&gt;0,ISBLANK(Table_9_UK!L26))),"Fail", "Pass")</f>
        <v>Pass</v>
      </c>
      <c r="V26" s="7" t="str">
        <f>"Head "&amp;A26&amp;", "</f>
        <v xml:space="preserve">Head 6, </v>
      </c>
      <c r="W26" s="5" t="str">
        <f>IF(U26 = "Fail", V26, "")</f>
        <v/>
      </c>
      <c r="X26" s="7" t="str">
        <f>IF(AND(SUM(I26)=0,NOT(ISBLANK(L26))),"Fail","Pass")</f>
        <v>Pass</v>
      </c>
      <c r="Y26" s="7" t="str">
        <f>"Head "&amp;A26&amp;" ("&amp;I26&amp;"), "</f>
        <v xml:space="preserve">Head 6 (0), </v>
      </c>
      <c r="Z26" s="5" t="str">
        <f>IF(X26 = "Fail", Y26, "")</f>
        <v/>
      </c>
    </row>
    <row r="27" spans="1:26" customFormat="1" ht="12.75" customHeight="1" thickBot="1" x14ac:dyDescent="0.3">
      <c r="A27" s="345">
        <v>7</v>
      </c>
      <c r="B27" s="348" t="s">
        <v>754</v>
      </c>
      <c r="C27" s="330"/>
      <c r="D27" s="330"/>
      <c r="E27" s="330"/>
      <c r="F27" s="330"/>
      <c r="G27" s="332"/>
      <c r="H27" s="320">
        <v>0</v>
      </c>
      <c r="I27" s="320">
        <v>0</v>
      </c>
      <c r="J27" s="355">
        <v>0</v>
      </c>
      <c r="K27" s="46"/>
      <c r="L27" s="46"/>
      <c r="M27" s="595"/>
      <c r="N27" s="156" t="str">
        <f>IF(I27&lt;&gt;J27,A27&amp;" ("&amp;I27&amp;", "&amp;J27&amp;")"&amp;", ","")</f>
        <v/>
      </c>
      <c r="O27" s="7" t="str">
        <f>IF(OR(AND(SUM(Table_9_UK!H27)&lt;&gt;0,ISBLANK(Table_9_UK!K27))),"Fail", "Pass")</f>
        <v>Pass</v>
      </c>
      <c r="P27" s="7" t="str">
        <f>"Head "&amp;A27&amp;", "</f>
        <v xml:space="preserve">Head 7, </v>
      </c>
      <c r="Q27" s="5" t="str">
        <f>IF(O27 = "Fail", P27, "")</f>
        <v/>
      </c>
      <c r="R27" s="7" t="str">
        <f>IF(AND(SUM(H27)=0,NOT(ISBLANK(K27))),"Fail","Pass")</f>
        <v>Pass</v>
      </c>
      <c r="S27" s="7" t="str">
        <f>"Head "&amp;A27&amp;" ("&amp;H27&amp;"), "</f>
        <v xml:space="preserve">Head 7 (0), </v>
      </c>
      <c r="T27" s="5" t="str">
        <f>IF(R27 = "Fail", S27, "")</f>
        <v/>
      </c>
      <c r="U27" s="7" t="str">
        <f>IF(OR(AND(SUM(Table_9_UK!I27)&lt;&gt;0,ISBLANK(Table_9_UK!L27))),"Fail", "Pass")</f>
        <v>Pass</v>
      </c>
      <c r="V27" s="7" t="str">
        <f>"Head "&amp;A27&amp;", "</f>
        <v xml:space="preserve">Head 7, </v>
      </c>
      <c r="W27" s="5" t="str">
        <f>IF(U27 = "Fail", V27, "")</f>
        <v/>
      </c>
      <c r="X27" s="7" t="str">
        <f>IF(AND(SUM(I27)=0,NOT(ISBLANK(L27))),"Fail","Pass")</f>
        <v>Pass</v>
      </c>
      <c r="Y27" s="7" t="str">
        <f>"Head "&amp;A27&amp;" ("&amp;I27&amp;"), "</f>
        <v xml:space="preserve">Head 7 (0), </v>
      </c>
      <c r="Z27" s="5" t="str">
        <f>IF(X27 = "Fail", Y27, "")</f>
        <v/>
      </c>
    </row>
    <row r="28" spans="1:26" customFormat="1" ht="12.75" customHeight="1" thickBot="1" x14ac:dyDescent="0.3">
      <c r="A28" s="345">
        <v>8</v>
      </c>
      <c r="B28" s="348" t="s">
        <v>755</v>
      </c>
      <c r="C28" s="330"/>
      <c r="D28" s="330"/>
      <c r="E28" s="330"/>
      <c r="F28" s="330"/>
      <c r="G28" s="332"/>
      <c r="H28" s="320">
        <v>0</v>
      </c>
      <c r="I28" s="320">
        <v>0</v>
      </c>
      <c r="J28" s="355">
        <v>0</v>
      </c>
      <c r="K28" s="46"/>
      <c r="L28" s="46"/>
      <c r="M28" s="595"/>
      <c r="N28" s="156" t="str">
        <f>IF(I28&lt;&gt;J28,A28&amp;" ("&amp;I28&amp;", "&amp;J28&amp;")"&amp;", ","")</f>
        <v/>
      </c>
      <c r="O28" s="7" t="str">
        <f>IF(OR(AND(SUM(Table_9_UK!H28)&lt;&gt;0,ISBLANK(Table_9_UK!K28))),"Fail", "Pass")</f>
        <v>Pass</v>
      </c>
      <c r="P28" s="7" t="str">
        <f>"Head "&amp;A28&amp;", "</f>
        <v xml:space="preserve">Head 8, </v>
      </c>
      <c r="Q28" s="5" t="str">
        <f>IF(O28 = "Fail", P28, "")</f>
        <v/>
      </c>
      <c r="R28" s="7" t="str">
        <f>IF(AND(SUM(H28)=0,NOT(ISBLANK(K28))),"Fail","Pass")</f>
        <v>Pass</v>
      </c>
      <c r="S28" s="7" t="str">
        <f>"Head "&amp;A28&amp;" ("&amp;H28&amp;"), "</f>
        <v xml:space="preserve">Head 8 (0), </v>
      </c>
      <c r="T28" s="5" t="str">
        <f>IF(R28 = "Fail", S28, "")</f>
        <v/>
      </c>
      <c r="U28" s="7" t="str">
        <f>IF(OR(AND(SUM(Table_9_UK!I28)&lt;&gt;0,ISBLANK(Table_9_UK!L28))),"Fail", "Pass")</f>
        <v>Pass</v>
      </c>
      <c r="V28" s="7" t="str">
        <f>"Head "&amp;A28&amp;", "</f>
        <v xml:space="preserve">Head 8, </v>
      </c>
      <c r="W28" s="5" t="str">
        <f>IF(U28 = "Fail", V28, "")</f>
        <v/>
      </c>
      <c r="X28" s="7" t="str">
        <f>IF(AND(SUM(I28)=0,NOT(ISBLANK(L28))),"Fail","Pass")</f>
        <v>Pass</v>
      </c>
      <c r="Y28" s="7" t="str">
        <f>"Head "&amp;A28&amp;" ("&amp;I28&amp;"), "</f>
        <v xml:space="preserve">Head 8 (0), </v>
      </c>
      <c r="Z28" s="5" t="str">
        <f>IF(X28 = "Fail", Y28, "")</f>
        <v/>
      </c>
    </row>
    <row r="29" spans="1:26" customFormat="1" ht="12.75" customHeight="1" x14ac:dyDescent="0.25">
      <c r="A29" s="443"/>
      <c r="B29" s="348"/>
      <c r="C29" s="330"/>
      <c r="D29" s="330"/>
      <c r="E29" s="330"/>
      <c r="F29" s="330"/>
      <c r="G29" s="332"/>
      <c r="H29" s="328"/>
      <c r="I29" s="328"/>
      <c r="J29" s="328"/>
      <c r="K29" s="25"/>
      <c r="L29" s="25"/>
      <c r="M29" s="6"/>
      <c r="P29" s="7"/>
      <c r="U29" s="7"/>
      <c r="V29" s="7"/>
      <c r="X29" s="7"/>
    </row>
    <row r="30" spans="1:26" customFormat="1" ht="12.75" customHeight="1" x14ac:dyDescent="0.25">
      <c r="A30" s="345">
        <v>9</v>
      </c>
      <c r="B30" s="335" t="s">
        <v>756</v>
      </c>
      <c r="C30" s="336"/>
      <c r="D30" s="336"/>
      <c r="E30" s="336"/>
      <c r="F30" s="336"/>
      <c r="G30" s="337"/>
      <c r="H30" s="324"/>
      <c r="I30" s="324"/>
      <c r="J30" s="324"/>
      <c r="K30" s="6"/>
      <c r="L30" s="6"/>
      <c r="M30" s="6"/>
      <c r="P30" s="7"/>
      <c r="U30" s="7"/>
      <c r="V30" s="7"/>
      <c r="X30" s="7"/>
    </row>
    <row r="31" spans="1:26" customFormat="1" ht="12.75" customHeight="1" thickBot="1" x14ac:dyDescent="0.3">
      <c r="A31" s="345"/>
      <c r="B31" s="351"/>
      <c r="C31" s="352"/>
      <c r="D31" s="352"/>
      <c r="E31" s="352"/>
      <c r="F31" s="352"/>
      <c r="G31" s="597"/>
      <c r="H31" s="328"/>
      <c r="I31" s="328"/>
      <c r="J31" s="328"/>
      <c r="K31" s="6"/>
      <c r="L31" s="6"/>
      <c r="M31" s="6"/>
      <c r="P31" s="7"/>
      <c r="U31" s="7"/>
      <c r="V31" s="7"/>
      <c r="X31" s="7"/>
    </row>
    <row r="32" spans="1:26" customFormat="1" ht="12.75" customHeight="1" thickBot="1" x14ac:dyDescent="0.3">
      <c r="A32" s="345">
        <v>10</v>
      </c>
      <c r="B32" s="348" t="s">
        <v>757</v>
      </c>
      <c r="C32" s="330"/>
      <c r="D32" s="330"/>
      <c r="E32" s="330"/>
      <c r="F32" s="330"/>
      <c r="G32" s="332"/>
      <c r="H32" s="320">
        <v>0</v>
      </c>
      <c r="I32" s="320">
        <v>0</v>
      </c>
      <c r="J32" s="355">
        <v>0</v>
      </c>
      <c r="K32" s="46"/>
      <c r="L32" s="46"/>
      <c r="M32" s="595"/>
      <c r="N32" s="156" t="str">
        <f>IF(I32&lt;&gt;J32,A32&amp;" ("&amp;I32&amp;", "&amp;J32&amp;")"&amp;", ","")</f>
        <v/>
      </c>
      <c r="O32" s="7" t="str">
        <f>IF(OR(AND(SUM(Table_9_UK!H32)&lt;&gt;0,ISBLANK(Table_9_UK!K32))),"Fail", "Pass")</f>
        <v>Pass</v>
      </c>
      <c r="P32" s="7" t="str">
        <f>"Head "&amp;A32&amp;", "</f>
        <v xml:space="preserve">Head 10, </v>
      </c>
      <c r="Q32" s="5" t="str">
        <f>IF(O32 = "Fail", P32, "")</f>
        <v/>
      </c>
      <c r="R32" s="7" t="str">
        <f>IF(AND(SUM(H32)=0,NOT(ISBLANK(K32))),"Fail","Pass")</f>
        <v>Pass</v>
      </c>
      <c r="S32" s="7" t="str">
        <f>"Head "&amp;A32&amp;" ("&amp;H32&amp;"), "</f>
        <v xml:space="preserve">Head 10 (0), </v>
      </c>
      <c r="T32" s="5" t="str">
        <f>IF(R32 = "Fail", S32, "")</f>
        <v/>
      </c>
      <c r="U32" s="7" t="str">
        <f>IF(OR(AND(SUM(Table_9_UK!I32)&lt;&gt;0,ISBLANK(Table_9_UK!L32))),"Fail", "Pass")</f>
        <v>Pass</v>
      </c>
      <c r="V32" s="7" t="str">
        <f>"Head "&amp;A32&amp;", "</f>
        <v xml:space="preserve">Head 10, </v>
      </c>
      <c r="W32" s="5" t="str">
        <f>IF(U32 = "Fail", V32, "")</f>
        <v/>
      </c>
      <c r="X32" s="7" t="str">
        <f>IF(AND(SUM(I32)=0,NOT(ISBLANK(L32))),"Fail","Pass")</f>
        <v>Pass</v>
      </c>
      <c r="Y32" s="7" t="str">
        <f>"Head "&amp;A32&amp;" ("&amp;I32&amp;"), "</f>
        <v xml:space="preserve">Head 10 (0), </v>
      </c>
      <c r="Z32" s="5" t="str">
        <f>IF(X32 = "Fail", Y32, "")</f>
        <v/>
      </c>
    </row>
    <row r="33" spans="1:26" customFormat="1" ht="12.75" customHeight="1" x14ac:dyDescent="0.25">
      <c r="A33" s="345"/>
      <c r="B33" s="348"/>
      <c r="C33" s="330"/>
      <c r="D33" s="330"/>
      <c r="E33" s="330"/>
      <c r="F33" s="330"/>
      <c r="G33" s="332"/>
      <c r="H33" s="328"/>
      <c r="I33" s="328"/>
      <c r="J33" s="328"/>
      <c r="K33" s="6"/>
      <c r="L33" s="6"/>
      <c r="M33" s="6"/>
      <c r="P33" s="7"/>
      <c r="U33" s="7"/>
      <c r="V33" s="7"/>
      <c r="X33" s="7"/>
    </row>
    <row r="34" spans="1:26" customFormat="1" ht="12.75" customHeight="1" x14ac:dyDescent="0.25">
      <c r="A34" s="345">
        <v>11</v>
      </c>
      <c r="B34" s="335" t="s">
        <v>758</v>
      </c>
      <c r="C34" s="336"/>
      <c r="D34" s="336"/>
      <c r="E34" s="336"/>
      <c r="F34" s="336"/>
      <c r="G34" s="337"/>
      <c r="H34" s="324"/>
      <c r="I34" s="324"/>
      <c r="J34" s="324"/>
      <c r="K34" s="6"/>
      <c r="L34" s="6"/>
      <c r="M34" s="6"/>
      <c r="P34" s="7"/>
      <c r="U34" s="7"/>
      <c r="V34" s="7"/>
      <c r="X34" s="7"/>
    </row>
    <row r="35" spans="1:26" customFormat="1" ht="12.75" customHeight="1" thickBot="1" x14ac:dyDescent="0.3">
      <c r="A35" s="345"/>
      <c r="B35" s="348"/>
      <c r="C35" s="330"/>
      <c r="D35" s="330"/>
      <c r="E35" s="330"/>
      <c r="F35" s="330"/>
      <c r="G35" s="332"/>
      <c r="H35" s="328"/>
      <c r="I35" s="328"/>
      <c r="J35" s="328"/>
      <c r="K35" s="26"/>
      <c r="L35" s="26"/>
      <c r="M35" s="6"/>
      <c r="P35" s="7"/>
      <c r="U35" s="7"/>
      <c r="V35" s="7"/>
      <c r="X35" s="7"/>
    </row>
    <row r="36" spans="1:26" customFormat="1" ht="12.75" customHeight="1" thickBot="1" x14ac:dyDescent="0.3">
      <c r="A36" s="345">
        <v>12</v>
      </c>
      <c r="B36" s="348" t="s">
        <v>759</v>
      </c>
      <c r="C36" s="330"/>
      <c r="D36" s="330"/>
      <c r="E36" s="330"/>
      <c r="F36" s="330"/>
      <c r="G36" s="332"/>
      <c r="H36" s="320">
        <v>0</v>
      </c>
      <c r="I36" s="320">
        <v>0</v>
      </c>
      <c r="J36" s="355">
        <v>0</v>
      </c>
      <c r="K36" s="46"/>
      <c r="L36" s="46"/>
      <c r="M36" s="595"/>
      <c r="N36" s="156" t="str">
        <f>IF(I36&lt;&gt;J36,A36&amp;" ("&amp;I36&amp;", "&amp;J36&amp;")"&amp;", ","")</f>
        <v/>
      </c>
      <c r="O36" s="7" t="str">
        <f>IF(OR(AND(SUM(Table_9_UK!H36)&lt;&gt;0,ISBLANK(Table_9_UK!K36))),"Fail", "Pass")</f>
        <v>Pass</v>
      </c>
      <c r="P36" s="7" t="str">
        <f>"Head "&amp;A36&amp;", "</f>
        <v xml:space="preserve">Head 12, </v>
      </c>
      <c r="Q36" s="5" t="str">
        <f>IF(O36 = "Fail", P36, "")</f>
        <v/>
      </c>
      <c r="R36" s="7" t="str">
        <f>IF(AND(SUM(H36)=0,NOT(ISBLANK(K36))),"Fail","Pass")</f>
        <v>Pass</v>
      </c>
      <c r="S36" s="7" t="str">
        <f>"Head "&amp;A36&amp;" ("&amp;H36&amp;"), "</f>
        <v xml:space="preserve">Head 12 (0), </v>
      </c>
      <c r="T36" s="5" t="str">
        <f>IF(R36 = "Fail", S36, "")</f>
        <v/>
      </c>
      <c r="U36" s="7" t="str">
        <f>IF(OR(AND(SUM(Table_9_UK!I36)&lt;&gt;0,ISBLANK(Table_9_UK!L36))),"Fail", "Pass")</f>
        <v>Pass</v>
      </c>
      <c r="V36" s="7" t="str">
        <f>"Head "&amp;A36&amp;", "</f>
        <v xml:space="preserve">Head 12, </v>
      </c>
      <c r="W36" s="5" t="str">
        <f>IF(U36 = "Fail", V36, "")</f>
        <v/>
      </c>
      <c r="X36" s="7" t="str">
        <f>IF(AND(SUM(I36)=0,NOT(ISBLANK(L36))),"Fail","Pass")</f>
        <v>Pass</v>
      </c>
      <c r="Y36" s="7" t="str">
        <f>"Head "&amp;A36&amp;" ("&amp;I36&amp;"), "</f>
        <v xml:space="preserve">Head 12 (0), </v>
      </c>
      <c r="Z36" s="5" t="str">
        <f>IF(X36 = "Fail", Y36, "")</f>
        <v/>
      </c>
    </row>
    <row r="37" spans="1:26" customFormat="1" ht="12.75" customHeight="1" thickBot="1" x14ac:dyDescent="0.3">
      <c r="A37" s="345">
        <v>13</v>
      </c>
      <c r="B37" s="348" t="s">
        <v>760</v>
      </c>
      <c r="C37" s="330"/>
      <c r="D37" s="330"/>
      <c r="E37" s="330"/>
      <c r="F37" s="330"/>
      <c r="G37" s="332"/>
      <c r="H37" s="320">
        <v>0</v>
      </c>
      <c r="I37" s="320">
        <v>0</v>
      </c>
      <c r="J37" s="355">
        <v>0</v>
      </c>
      <c r="K37" s="46"/>
      <c r="L37" s="46"/>
      <c r="M37" s="595"/>
      <c r="N37" s="156" t="str">
        <f>IF(I37&lt;&gt;J37,A37&amp;" ("&amp;I37&amp;", "&amp;J37&amp;")"&amp;", ","")</f>
        <v/>
      </c>
      <c r="O37" s="7" t="str">
        <f>IF(OR(AND(SUM(Table_9_UK!H37)&lt;&gt;0,ISBLANK(Table_9_UK!K37))),"Fail", "Pass")</f>
        <v>Pass</v>
      </c>
      <c r="P37" s="7" t="str">
        <f>"Head "&amp;A37&amp;", "</f>
        <v xml:space="preserve">Head 13, </v>
      </c>
      <c r="Q37" s="5" t="str">
        <f>IF(O37 = "Fail", P37, "")</f>
        <v/>
      </c>
      <c r="R37" s="7" t="str">
        <f>IF(AND(SUM(H37)=0,NOT(ISBLANK(K37))),"Fail","Pass")</f>
        <v>Pass</v>
      </c>
      <c r="S37" s="7" t="str">
        <f>"Head "&amp;A37&amp;" ("&amp;H37&amp;"), "</f>
        <v xml:space="preserve">Head 13 (0), </v>
      </c>
      <c r="T37" s="5" t="str">
        <f>IF(R37 = "Fail", S37, "")</f>
        <v/>
      </c>
      <c r="U37" s="7" t="str">
        <f>IF(OR(AND(SUM(Table_9_UK!I37)&lt;&gt;0,ISBLANK(Table_9_UK!L37))),"Fail", "Pass")</f>
        <v>Pass</v>
      </c>
      <c r="V37" s="7" t="str">
        <f>"Head "&amp;A37&amp;", "</f>
        <v xml:space="preserve">Head 13, </v>
      </c>
      <c r="W37" s="5" t="str">
        <f>IF(U37 = "Fail", V37, "")</f>
        <v/>
      </c>
      <c r="X37" s="7" t="str">
        <f>IF(AND(SUM(I37)=0,NOT(ISBLANK(L37))),"Fail","Pass")</f>
        <v>Pass</v>
      </c>
      <c r="Y37" s="7" t="str">
        <f>"Head "&amp;A37&amp;" ("&amp;I37&amp;"), "</f>
        <v xml:space="preserve">Head 13 (0), </v>
      </c>
      <c r="Z37" s="5" t="str">
        <f>IF(X37 = "Fail", Y37, "")</f>
        <v/>
      </c>
    </row>
    <row r="38" spans="1:26" customFormat="1" ht="12.75" customHeight="1" thickBot="1" x14ac:dyDescent="0.3">
      <c r="A38" s="345">
        <v>14</v>
      </c>
      <c r="B38" s="348" t="s">
        <v>1274</v>
      </c>
      <c r="C38" s="330"/>
      <c r="D38" s="330"/>
      <c r="E38" s="330"/>
      <c r="F38" s="330"/>
      <c r="G38" s="332"/>
      <c r="H38" s="320">
        <v>0</v>
      </c>
      <c r="I38" s="320">
        <v>0</v>
      </c>
      <c r="J38" s="355">
        <v>0</v>
      </c>
      <c r="K38" s="46"/>
      <c r="L38" s="46"/>
      <c r="M38" s="595"/>
      <c r="N38" s="156" t="str">
        <f>IF(I38&lt;&gt;J38,A38&amp;" ("&amp;I38&amp;", "&amp;J38&amp;")"&amp;", ","")</f>
        <v/>
      </c>
      <c r="O38" s="7" t="str">
        <f>IF(OR(AND(SUM(Table_9_UK!H38)&lt;&gt;0,ISBLANK(Table_9_UK!K38))),"Fail", "Pass")</f>
        <v>Pass</v>
      </c>
      <c r="P38" s="7" t="str">
        <f>"Head "&amp;A38&amp;", "</f>
        <v xml:space="preserve">Head 14, </v>
      </c>
      <c r="Q38" s="5" t="str">
        <f>IF(O38 = "Fail", P38, "")</f>
        <v/>
      </c>
      <c r="R38" s="7" t="str">
        <f>IF(AND(SUM(H38)=0,NOT(ISBLANK(K38))),"Fail","Pass")</f>
        <v>Pass</v>
      </c>
      <c r="S38" s="7" t="str">
        <f>"Head "&amp;A38&amp;" ("&amp;H38&amp;"), "</f>
        <v xml:space="preserve">Head 14 (0), </v>
      </c>
      <c r="T38" s="5" t="str">
        <f>IF(R38 = "Fail", S38, "")</f>
        <v/>
      </c>
      <c r="U38" s="7" t="str">
        <f>IF(OR(AND(SUM(Table_9_UK!I38)&lt;&gt;0,ISBLANK(Table_9_UK!L38))),"Fail", "Pass")</f>
        <v>Pass</v>
      </c>
      <c r="V38" s="7" t="str">
        <f>"Head "&amp;A38&amp;", "</f>
        <v xml:space="preserve">Head 14, </v>
      </c>
      <c r="W38" s="5" t="str">
        <f>IF(U38 = "Fail", V38, "")</f>
        <v/>
      </c>
      <c r="X38" s="7" t="str">
        <f>IF(AND(SUM(I38)=0,NOT(ISBLANK(L38))),"Fail","Pass")</f>
        <v>Pass</v>
      </c>
      <c r="Y38" s="7" t="str">
        <f>"Head "&amp;A38&amp;" ("&amp;I38&amp;"), "</f>
        <v xml:space="preserve">Head 14 (0), </v>
      </c>
      <c r="Z38" s="5" t="str">
        <f>IF(X38 = "Fail", Y38, "")</f>
        <v/>
      </c>
    </row>
    <row r="39" spans="1:26" customFormat="1" ht="12.75" customHeight="1" thickBot="1" x14ac:dyDescent="0.3">
      <c r="A39" s="345">
        <v>15</v>
      </c>
      <c r="B39" s="325" t="s">
        <v>1275</v>
      </c>
      <c r="C39" s="330"/>
      <c r="D39" s="330"/>
      <c r="E39" s="330"/>
      <c r="F39" s="330"/>
      <c r="G39" s="332"/>
      <c r="H39" s="320">
        <v>0</v>
      </c>
      <c r="I39" s="320">
        <v>0</v>
      </c>
      <c r="J39" s="355">
        <v>0</v>
      </c>
      <c r="K39" s="46"/>
      <c r="L39" s="46"/>
      <c r="M39" s="595"/>
      <c r="N39" s="156" t="str">
        <f>IF(I39&lt;&gt;J39,A39&amp;" ("&amp;I39&amp;", "&amp;J39&amp;")"&amp;", ","")</f>
        <v/>
      </c>
      <c r="O39" s="7" t="str">
        <f>IF(OR(AND(SUM(Table_9_UK!H39)&lt;&gt;0,ISBLANK(Table_9_UK!K39))),"Fail", "Pass")</f>
        <v>Pass</v>
      </c>
      <c r="P39" s="7" t="str">
        <f>"Head "&amp;A39&amp;", "</f>
        <v xml:space="preserve">Head 15, </v>
      </c>
      <c r="Q39" s="5" t="str">
        <f>IF(O39 = "Fail", P39, "")</f>
        <v/>
      </c>
      <c r="R39" s="7" t="str">
        <f>IF(AND(SUM(H39)=0,NOT(ISBLANK(K39))),"Fail","Pass")</f>
        <v>Pass</v>
      </c>
      <c r="S39" s="7" t="str">
        <f>"Head "&amp;A39&amp;" ("&amp;H39&amp;"), "</f>
        <v xml:space="preserve">Head 15 (0), </v>
      </c>
      <c r="T39" s="5" t="str">
        <f>IF(R39 = "Fail", S39, "")</f>
        <v/>
      </c>
      <c r="U39" s="7" t="str">
        <f>IF(OR(AND(SUM(Table_9_UK!I39)&lt;&gt;0,ISBLANK(Table_9_UK!L39))),"Fail", "Pass")</f>
        <v>Pass</v>
      </c>
      <c r="V39" s="7" t="str">
        <f>"Head "&amp;A39&amp;", "</f>
        <v xml:space="preserve">Head 15, </v>
      </c>
      <c r="W39" s="5" t="str">
        <f>IF(U39 = "Fail", V39, "")</f>
        <v/>
      </c>
      <c r="X39" s="7" t="str">
        <f>IF(AND(SUM(I39)=0,NOT(ISBLANK(L39))),"Fail","Pass")</f>
        <v>Pass</v>
      </c>
      <c r="Y39" s="7" t="str">
        <f>"Head "&amp;A39&amp;" ("&amp;I39&amp;"), "</f>
        <v xml:space="preserve">Head 15 (0), </v>
      </c>
      <c r="Z39" s="5" t="str">
        <f>IF(X39 = "Fail", Y39, "")</f>
        <v/>
      </c>
    </row>
    <row r="40" spans="1:26" customFormat="1" ht="12.75" customHeight="1" x14ac:dyDescent="0.25">
      <c r="A40" s="345"/>
      <c r="B40" s="348"/>
      <c r="C40" s="330"/>
      <c r="D40" s="330"/>
      <c r="E40" s="330"/>
      <c r="F40" s="330"/>
      <c r="G40" s="332"/>
      <c r="H40" s="328"/>
      <c r="I40" s="328"/>
      <c r="J40" s="328"/>
      <c r="K40" s="25"/>
      <c r="L40" s="25"/>
      <c r="M40" s="6"/>
      <c r="P40" s="7"/>
      <c r="U40" s="7"/>
      <c r="V40" s="7"/>
      <c r="X40" s="7"/>
    </row>
    <row r="41" spans="1:26" customFormat="1" ht="12.75" customHeight="1" x14ac:dyDescent="0.25">
      <c r="A41" s="345">
        <v>16</v>
      </c>
      <c r="B41" s="335" t="s">
        <v>764</v>
      </c>
      <c r="C41" s="336"/>
      <c r="D41" s="336"/>
      <c r="E41" s="336"/>
      <c r="F41" s="336"/>
      <c r="G41" s="337"/>
      <c r="H41" s="324"/>
      <c r="I41" s="324"/>
      <c r="J41" s="324"/>
      <c r="K41" s="6"/>
      <c r="L41" s="6"/>
      <c r="M41" s="6"/>
      <c r="P41" s="7"/>
      <c r="U41" s="7"/>
      <c r="V41" s="7"/>
      <c r="X41" s="7"/>
    </row>
    <row r="42" spans="1:26" customFormat="1" ht="12.75" customHeight="1" x14ac:dyDescent="0.25">
      <c r="A42" s="345"/>
      <c r="B42" s="348"/>
      <c r="C42" s="330"/>
      <c r="D42" s="330"/>
      <c r="E42" s="330"/>
      <c r="F42" s="330"/>
      <c r="G42" s="332"/>
      <c r="H42" s="328"/>
      <c r="I42" s="328"/>
      <c r="J42" s="328"/>
      <c r="K42" s="6"/>
      <c r="L42" s="6"/>
      <c r="M42" s="6"/>
      <c r="P42" s="7"/>
      <c r="U42" s="7"/>
      <c r="V42" s="7"/>
      <c r="X42" s="7"/>
    </row>
    <row r="43" spans="1:26" customFormat="1" ht="12.75" customHeight="1" thickBot="1" x14ac:dyDescent="0.3">
      <c r="A43" s="345">
        <v>17</v>
      </c>
      <c r="B43" s="357" t="s">
        <v>765</v>
      </c>
      <c r="C43" s="358"/>
      <c r="D43" s="358"/>
      <c r="E43" s="358"/>
      <c r="F43" s="358"/>
      <c r="G43" s="359"/>
      <c r="H43" s="329"/>
      <c r="I43" s="329"/>
      <c r="J43" s="329"/>
      <c r="K43" s="26"/>
      <c r="L43" s="26"/>
      <c r="M43" s="6"/>
      <c r="P43" s="7"/>
      <c r="U43" s="7"/>
      <c r="V43" s="7"/>
      <c r="X43" s="7"/>
    </row>
    <row r="44" spans="1:26" customFormat="1" ht="12.75" customHeight="1" thickBot="1" x14ac:dyDescent="0.3">
      <c r="A44" s="345" t="s">
        <v>766</v>
      </c>
      <c r="B44" s="325"/>
      <c r="C44" s="326" t="s">
        <v>767</v>
      </c>
      <c r="D44" s="330"/>
      <c r="E44" s="330"/>
      <c r="F44" s="330"/>
      <c r="G44" s="332"/>
      <c r="H44" s="320">
        <v>0</v>
      </c>
      <c r="I44" s="320">
        <v>0</v>
      </c>
      <c r="J44" s="355">
        <v>0</v>
      </c>
      <c r="K44" s="46"/>
      <c r="L44" s="46"/>
      <c r="M44" s="595"/>
      <c r="N44" s="156" t="str">
        <f>IF(I44&lt;&gt;J44,A44&amp;" ("&amp;I44&amp;", "&amp;J44&amp;")"&amp;", ","")</f>
        <v/>
      </c>
      <c r="O44" s="7" t="str">
        <f>IF(OR(AND(SUM(Table_9_UK!H44)&lt;&gt;0,ISBLANK(Table_9_UK!K44))),"Fail", "Pass")</f>
        <v>Pass</v>
      </c>
      <c r="P44" s="7" t="str">
        <f>"Head "&amp;A44&amp;", "</f>
        <v xml:space="preserve">Head 17a, </v>
      </c>
      <c r="Q44" s="5" t="str">
        <f>IF(O44 = "Fail", P44, "")</f>
        <v/>
      </c>
      <c r="R44" s="7" t="str">
        <f>IF(AND(SUM(H44)=0,NOT(ISBLANK(K44))),"Fail","Pass")</f>
        <v>Pass</v>
      </c>
      <c r="S44" s="7" t="str">
        <f>"Head "&amp;A44&amp;" ("&amp;H44&amp;"), "</f>
        <v xml:space="preserve">Head 17a (0), </v>
      </c>
      <c r="T44" s="5" t="str">
        <f>IF(R44 = "Fail", S44, "")</f>
        <v/>
      </c>
      <c r="U44" s="7" t="str">
        <f>IF(OR(AND(SUM(Table_9_UK!I44)&lt;&gt;0,ISBLANK(Table_9_UK!L44))),"Fail", "Pass")</f>
        <v>Pass</v>
      </c>
      <c r="V44" s="7" t="str">
        <f>"Head "&amp;A44&amp;", "</f>
        <v xml:space="preserve">Head 17a, </v>
      </c>
      <c r="W44" s="5" t="str">
        <f>IF(U44 = "Fail", V44, "")</f>
        <v/>
      </c>
      <c r="X44" s="7" t="str">
        <f>IF(AND(SUM(I44)=0,NOT(ISBLANK(L44))),"Fail","Pass")</f>
        <v>Pass</v>
      </c>
      <c r="Y44" s="7" t="str">
        <f>"Head "&amp;A44&amp;" ("&amp;I44&amp;"), "</f>
        <v xml:space="preserve">Head 17a (0), </v>
      </c>
      <c r="Z44" s="5" t="str">
        <f>IF(X44 = "Fail", Y44, "")</f>
        <v/>
      </c>
    </row>
    <row r="45" spans="1:26" customFormat="1" ht="12.75" customHeight="1" thickBot="1" x14ac:dyDescent="0.3">
      <c r="A45" s="345" t="s">
        <v>768</v>
      </c>
      <c r="B45" s="325"/>
      <c r="C45" s="326" t="s">
        <v>769</v>
      </c>
      <c r="D45" s="330"/>
      <c r="E45" s="330"/>
      <c r="F45" s="330"/>
      <c r="G45" s="332"/>
      <c r="H45" s="320">
        <v>0</v>
      </c>
      <c r="I45" s="320">
        <v>0</v>
      </c>
      <c r="J45" s="355">
        <v>0</v>
      </c>
      <c r="K45" s="46"/>
      <c r="L45" s="46"/>
      <c r="M45" s="595"/>
      <c r="N45" s="156" t="str">
        <f>IF(I45&lt;&gt;J45,A45&amp;" ("&amp;I45&amp;", "&amp;J45&amp;")"&amp;", ","")</f>
        <v/>
      </c>
      <c r="O45" s="7" t="str">
        <f>IF(OR(AND(SUM(Table_9_UK!H45)&lt;&gt;0,ISBLANK(Table_9_UK!K45))),"Fail", "Pass")</f>
        <v>Pass</v>
      </c>
      <c r="P45" s="7" t="str">
        <f>"Head "&amp;A45&amp;", "</f>
        <v xml:space="preserve">Head 17b, </v>
      </c>
      <c r="Q45" s="5" t="str">
        <f>IF(O45 = "Fail", P45, "")</f>
        <v/>
      </c>
      <c r="R45" s="7" t="str">
        <f>IF(AND(SUM(H45)=0,NOT(ISBLANK(K45))),"Fail","Pass")</f>
        <v>Pass</v>
      </c>
      <c r="S45" s="7" t="str">
        <f>"Head "&amp;A45&amp;" ("&amp;H45&amp;"), "</f>
        <v xml:space="preserve">Head 17b (0), </v>
      </c>
      <c r="T45" s="5" t="str">
        <f>IF(R45 = "Fail", S45, "")</f>
        <v/>
      </c>
      <c r="U45" s="7" t="str">
        <f>IF(OR(AND(SUM(Table_9_UK!I45)&lt;&gt;0,ISBLANK(Table_9_UK!L45))),"Fail", "Pass")</f>
        <v>Pass</v>
      </c>
      <c r="V45" s="7" t="str">
        <f>"Head "&amp;A45&amp;", "</f>
        <v xml:space="preserve">Head 17b, </v>
      </c>
      <c r="W45" s="5" t="str">
        <f>IF(U45 = "Fail", V45, "")</f>
        <v/>
      </c>
      <c r="X45" s="7" t="str">
        <f>IF(AND(SUM(I45)=0,NOT(ISBLANK(L45))),"Fail","Pass")</f>
        <v>Pass</v>
      </c>
      <c r="Y45" s="7" t="str">
        <f>"Head "&amp;A45&amp;" ("&amp;I45&amp;"), "</f>
        <v xml:space="preserve">Head 17b (0), </v>
      </c>
      <c r="Z45" s="5" t="str">
        <f>IF(X45 = "Fail", Y45, "")</f>
        <v/>
      </c>
    </row>
    <row r="46" spans="1:26" customFormat="1" ht="12.75" customHeight="1" thickBot="1" x14ac:dyDescent="0.3">
      <c r="A46" s="345" t="s">
        <v>770</v>
      </c>
      <c r="B46" s="325"/>
      <c r="C46" s="326" t="s">
        <v>771</v>
      </c>
      <c r="D46" s="330"/>
      <c r="E46" s="330"/>
      <c r="F46" s="330"/>
      <c r="G46" s="332"/>
      <c r="H46" s="320">
        <v>0</v>
      </c>
      <c r="I46" s="320">
        <v>0</v>
      </c>
      <c r="J46" s="355">
        <v>0</v>
      </c>
      <c r="K46" s="46"/>
      <c r="L46" s="46"/>
      <c r="M46" s="595"/>
      <c r="N46" s="156" t="str">
        <f>IF(I46&lt;&gt;J46,A46&amp;" ("&amp;I46&amp;", "&amp;J46&amp;")"&amp;", ","")</f>
        <v/>
      </c>
      <c r="O46" s="7" t="str">
        <f>IF(OR(AND(SUM(Table_9_UK!H46)&lt;&gt;0,ISBLANK(Table_9_UK!K46))),"Fail", "Pass")</f>
        <v>Pass</v>
      </c>
      <c r="P46" s="7" t="str">
        <f>"Head "&amp;A46&amp;", "</f>
        <v xml:space="preserve">Head 17c, </v>
      </c>
      <c r="Q46" s="5" t="str">
        <f>IF(O46 = "Fail", P46, "")</f>
        <v/>
      </c>
      <c r="R46" s="7" t="str">
        <f>IF(AND(SUM(H46)=0,NOT(ISBLANK(K46))),"Fail","Pass")</f>
        <v>Pass</v>
      </c>
      <c r="S46" s="7" t="str">
        <f>"Head "&amp;A46&amp;" ("&amp;H46&amp;"), "</f>
        <v xml:space="preserve">Head 17c (0), </v>
      </c>
      <c r="T46" s="5" t="str">
        <f>IF(R46 = "Fail", S46, "")</f>
        <v/>
      </c>
      <c r="U46" s="7" t="str">
        <f>IF(OR(AND(SUM(Table_9_UK!I46)&lt;&gt;0,ISBLANK(Table_9_UK!L46))),"Fail", "Pass")</f>
        <v>Pass</v>
      </c>
      <c r="V46" s="7" t="str">
        <f>"Head "&amp;A46&amp;", "</f>
        <v xml:space="preserve">Head 17c, </v>
      </c>
      <c r="W46" s="5" t="str">
        <f>IF(U46 = "Fail", V46, "")</f>
        <v/>
      </c>
      <c r="X46" s="7" t="str">
        <f>IF(AND(SUM(I46)=0,NOT(ISBLANK(L46))),"Fail","Pass")</f>
        <v>Pass</v>
      </c>
      <c r="Y46" s="7" t="str">
        <f>"Head "&amp;A46&amp;" ("&amp;I46&amp;"), "</f>
        <v xml:space="preserve">Head 17c (0), </v>
      </c>
      <c r="Z46" s="5" t="str">
        <f>IF(X46 = "Fail", Y46, "")</f>
        <v/>
      </c>
    </row>
    <row r="47" spans="1:26" customFormat="1" ht="12.75" customHeight="1" thickBot="1" x14ac:dyDescent="0.3">
      <c r="A47" s="345" t="s">
        <v>772</v>
      </c>
      <c r="B47" s="348"/>
      <c r="C47" s="330" t="s">
        <v>773</v>
      </c>
      <c r="D47" s="330"/>
      <c r="E47" s="330"/>
      <c r="F47" s="330"/>
      <c r="G47" s="332"/>
      <c r="H47" s="320">
        <v>0</v>
      </c>
      <c r="I47" s="320">
        <v>0</v>
      </c>
      <c r="J47" s="355">
        <v>0</v>
      </c>
      <c r="K47" s="46"/>
      <c r="L47" s="46"/>
      <c r="M47" s="595"/>
      <c r="N47" s="156" t="str">
        <f>IF(I47&lt;&gt;J47,A47&amp;" ("&amp;I47&amp;", "&amp;J47&amp;")"&amp;", ","")</f>
        <v/>
      </c>
      <c r="O47" s="7" t="str">
        <f>IF(OR(AND(SUM(Table_9_UK!H47)&lt;&gt;0,ISBLANK(Table_9_UK!K47))),"Fail", "Pass")</f>
        <v>Pass</v>
      </c>
      <c r="P47" s="7" t="str">
        <f>"Head "&amp;A47&amp;", "</f>
        <v xml:space="preserve">Head 17d, </v>
      </c>
      <c r="Q47" s="5" t="str">
        <f>IF(O47 = "Fail", P47, "")</f>
        <v/>
      </c>
      <c r="R47" s="7" t="str">
        <f>IF(AND(SUM(H47)=0,NOT(ISBLANK(K47))),"Fail","Pass")</f>
        <v>Pass</v>
      </c>
      <c r="S47" s="7" t="str">
        <f>"Head "&amp;A47&amp;" ("&amp;H47&amp;"), "</f>
        <v xml:space="preserve">Head 17d (0), </v>
      </c>
      <c r="T47" s="5" t="str">
        <f>IF(R47 = "Fail", S47, "")</f>
        <v/>
      </c>
      <c r="U47" s="7" t="str">
        <f>IF(OR(AND(SUM(Table_9_UK!I47)&lt;&gt;0,ISBLANK(Table_9_UK!L47))),"Fail", "Pass")</f>
        <v>Pass</v>
      </c>
      <c r="V47" s="7" t="str">
        <f>"Head "&amp;A47&amp;", "</f>
        <v xml:space="preserve">Head 17d, </v>
      </c>
      <c r="W47" s="5" t="str">
        <f>IF(U47 = "Fail", V47, "")</f>
        <v/>
      </c>
      <c r="X47" s="7" t="str">
        <f>IF(AND(SUM(I47)=0,NOT(ISBLANK(L47))),"Fail","Pass")</f>
        <v>Pass</v>
      </c>
      <c r="Y47" s="7" t="str">
        <f>"Head "&amp;A47&amp;" ("&amp;I47&amp;"), "</f>
        <v xml:space="preserve">Head 17d (0), </v>
      </c>
      <c r="Z47" s="5" t="str">
        <f>IF(X47 = "Fail", Y47, "")</f>
        <v/>
      </c>
    </row>
    <row r="48" spans="1:26" customFormat="1" ht="12.75" customHeight="1" thickBot="1" x14ac:dyDescent="0.3">
      <c r="A48" s="345" t="s">
        <v>774</v>
      </c>
      <c r="B48" s="360" t="s">
        <v>775</v>
      </c>
      <c r="C48" s="360"/>
      <c r="D48" s="330"/>
      <c r="E48" s="326"/>
      <c r="F48" s="326"/>
      <c r="G48" s="327"/>
      <c r="H48" s="349"/>
      <c r="I48" s="349"/>
      <c r="J48" s="349"/>
      <c r="K48" s="25"/>
      <c r="L48" s="25"/>
      <c r="M48" s="6"/>
      <c r="P48" s="7"/>
      <c r="U48" s="7"/>
      <c r="V48" s="7"/>
      <c r="X48" s="7"/>
    </row>
    <row r="49" spans="1:26" customFormat="1" ht="12.75" customHeight="1" thickBot="1" x14ac:dyDescent="0.3">
      <c r="A49" s="345" t="s">
        <v>776</v>
      </c>
      <c r="B49" s="326" t="s">
        <v>777</v>
      </c>
      <c r="C49" s="326"/>
      <c r="D49" s="326"/>
      <c r="E49" s="326"/>
      <c r="F49" s="326"/>
      <c r="G49" s="327"/>
      <c r="H49" s="320">
        <v>0</v>
      </c>
      <c r="I49" s="320">
        <v>0</v>
      </c>
      <c r="J49" s="355">
        <v>0</v>
      </c>
      <c r="K49" s="46"/>
      <c r="L49" s="46"/>
      <c r="M49" s="595"/>
      <c r="N49" s="156" t="str">
        <f>IF(I49&lt;&gt;J49,A49&amp;" ("&amp;I49&amp;", "&amp;J49&amp;")"&amp;", ","")</f>
        <v/>
      </c>
      <c r="O49" s="7" t="str">
        <f>IF(OR(AND(SUM(Table_9_UK!H49)&lt;&gt;0,ISBLANK(Table_9_UK!K49))),"Fail", "Pass")</f>
        <v>Pass</v>
      </c>
      <c r="P49" s="7" t="str">
        <f>"Head "&amp;A49&amp;", "</f>
        <v xml:space="preserve">Head 17f, </v>
      </c>
      <c r="Q49" s="5" t="str">
        <f>IF(O49 = "Fail", P49, "")</f>
        <v/>
      </c>
      <c r="R49" s="7" t="str">
        <f>IF(AND(SUM(H49)=0,NOT(ISBLANK(K49))),"Fail","Pass")</f>
        <v>Pass</v>
      </c>
      <c r="S49" s="7" t="str">
        <f>"Head "&amp;A49&amp;" ("&amp;H49&amp;"), "</f>
        <v xml:space="preserve">Head 17f (0), </v>
      </c>
      <c r="T49" s="5" t="str">
        <f>IF(R49 = "Fail", S49, "")</f>
        <v/>
      </c>
      <c r="U49" s="7" t="str">
        <f>IF(OR(AND(SUM(Table_9_UK!I49)&lt;&gt;0,ISBLANK(Table_9_UK!L49))),"Fail", "Pass")</f>
        <v>Pass</v>
      </c>
      <c r="V49" s="7" t="str">
        <f>"Head "&amp;A49&amp;", "</f>
        <v xml:space="preserve">Head 17f, </v>
      </c>
      <c r="W49" s="5" t="str">
        <f>IF(U49 = "Fail", V49, "")</f>
        <v/>
      </c>
      <c r="X49" s="7" t="str">
        <f>IF(AND(SUM(I49)=0,NOT(ISBLANK(L49))),"Fail","Pass")</f>
        <v>Pass</v>
      </c>
      <c r="Y49" s="7" t="str">
        <f>"Head "&amp;A49&amp;" ("&amp;I49&amp;"), "</f>
        <v xml:space="preserve">Head 17f (0), </v>
      </c>
      <c r="Z49" s="5" t="str">
        <f>IF(X49 = "Fail", Y49, "")</f>
        <v/>
      </c>
    </row>
    <row r="50" spans="1:26" customFormat="1" ht="12.75" customHeight="1" x14ac:dyDescent="0.25">
      <c r="A50" s="345" t="s">
        <v>778</v>
      </c>
      <c r="B50" s="322" t="s">
        <v>779</v>
      </c>
      <c r="C50" s="322"/>
      <c r="D50" s="322"/>
      <c r="E50" s="322"/>
      <c r="F50" s="322"/>
      <c r="G50" s="322"/>
      <c r="H50" s="598"/>
      <c r="I50" s="472"/>
      <c r="J50" s="363"/>
      <c r="K50" s="6"/>
      <c r="L50" s="6"/>
      <c r="M50" s="6"/>
      <c r="P50" s="7"/>
      <c r="U50" s="7"/>
      <c r="V50" s="7"/>
      <c r="X50" s="7"/>
    </row>
    <row r="51" spans="1:26" x14ac:dyDescent="0.2">
      <c r="A51" s="345"/>
      <c r="B51" s="348"/>
      <c r="C51" s="330"/>
      <c r="D51" s="330"/>
      <c r="E51" s="330"/>
      <c r="F51" s="330"/>
      <c r="G51" s="332"/>
      <c r="H51" s="356"/>
      <c r="I51" s="356"/>
      <c r="J51" s="356"/>
      <c r="K51" s="6"/>
      <c r="L51" s="6"/>
      <c r="M51" s="6"/>
      <c r="P51" s="7"/>
      <c r="U51" s="7"/>
      <c r="V51" s="7"/>
      <c r="X51" s="7"/>
    </row>
    <row r="52" spans="1:26" customFormat="1" ht="12.6" customHeight="1" thickBot="1" x14ac:dyDescent="0.3">
      <c r="A52" s="345">
        <v>18</v>
      </c>
      <c r="B52" s="357" t="s">
        <v>1276</v>
      </c>
      <c r="C52" s="358"/>
      <c r="D52" s="358"/>
      <c r="E52" s="358"/>
      <c r="F52" s="358"/>
      <c r="G52" s="359"/>
      <c r="H52" s="329"/>
      <c r="I52" s="329"/>
      <c r="J52" s="329"/>
      <c r="K52" s="6"/>
      <c r="L52" s="6"/>
      <c r="M52" s="6"/>
      <c r="P52" s="7"/>
      <c r="U52" s="7"/>
      <c r="V52" s="7"/>
      <c r="X52" s="7"/>
    </row>
    <row r="53" spans="1:26" customFormat="1" ht="12.6" customHeight="1" thickBot="1" x14ac:dyDescent="0.3">
      <c r="A53" s="345" t="s">
        <v>781</v>
      </c>
      <c r="B53" s="348"/>
      <c r="C53" s="330" t="s">
        <v>782</v>
      </c>
      <c r="D53" s="330"/>
      <c r="E53" s="330"/>
      <c r="F53" s="330"/>
      <c r="G53" s="332"/>
      <c r="H53" s="320">
        <v>0</v>
      </c>
      <c r="I53" s="320">
        <v>0</v>
      </c>
      <c r="J53" s="355">
        <v>0</v>
      </c>
      <c r="K53" s="46"/>
      <c r="L53" s="46"/>
      <c r="M53" s="595"/>
      <c r="N53" s="156" t="str">
        <f>IF(I53&lt;&gt;J53,A53&amp;" ("&amp;I53&amp;", "&amp;J53&amp;")"&amp;", ","")</f>
        <v/>
      </c>
      <c r="O53" s="7" t="str">
        <f>IF(OR(AND(SUM(Table_9_UK!H53)&lt;&gt;0,ISBLANK(Table_9_UK!K53))),"Fail", "Pass")</f>
        <v>Pass</v>
      </c>
      <c r="P53" s="7" t="str">
        <f>"Head "&amp;A53&amp;", "</f>
        <v xml:space="preserve">Head 18a, </v>
      </c>
      <c r="Q53" s="5" t="str">
        <f>IF(O53 = "Fail", P53, "")</f>
        <v/>
      </c>
      <c r="R53" s="7" t="str">
        <f>IF(AND(SUM(H53)=0,NOT(ISBLANK(K53))),"Fail","Pass")</f>
        <v>Pass</v>
      </c>
      <c r="S53" s="7" t="str">
        <f>"Head "&amp;A53&amp;" ("&amp;H53&amp;"), "</f>
        <v xml:space="preserve">Head 18a (0), </v>
      </c>
      <c r="T53" s="5" t="str">
        <f>IF(R53 = "Fail", S53, "")</f>
        <v/>
      </c>
      <c r="U53" s="7" t="str">
        <f>IF(OR(AND(SUM(Table_9_UK!I53)&lt;&gt;0,ISBLANK(Table_9_UK!L53))),"Fail", "Pass")</f>
        <v>Pass</v>
      </c>
      <c r="V53" s="7" t="str">
        <f>"Head "&amp;A53&amp;", "</f>
        <v xml:space="preserve">Head 18a, </v>
      </c>
      <c r="W53" s="5" t="str">
        <f>IF(U53 = "Fail", V53, "")</f>
        <v/>
      </c>
      <c r="X53" s="7" t="str">
        <f>IF(AND(SUM(I53)=0,NOT(ISBLANK(L53))),"Fail","Pass")</f>
        <v>Pass</v>
      </c>
      <c r="Y53" s="7" t="str">
        <f>"Head "&amp;A53&amp;" ("&amp;I53&amp;"), "</f>
        <v xml:space="preserve">Head 18a (0), </v>
      </c>
      <c r="Z53" s="5" t="str">
        <f>IF(X53 = "Fail", Y53, "")</f>
        <v/>
      </c>
    </row>
    <row r="54" spans="1:26" customFormat="1" ht="12.6" customHeight="1" thickBot="1" x14ac:dyDescent="0.3">
      <c r="A54" s="345" t="s">
        <v>783</v>
      </c>
      <c r="B54" s="599"/>
      <c r="C54" s="330" t="s">
        <v>784</v>
      </c>
      <c r="D54" s="330"/>
      <c r="E54" s="326"/>
      <c r="F54" s="326"/>
      <c r="G54" s="327"/>
      <c r="H54" s="320">
        <v>0</v>
      </c>
      <c r="I54" s="320">
        <v>0</v>
      </c>
      <c r="J54" s="355">
        <v>0</v>
      </c>
      <c r="K54" s="46"/>
      <c r="L54" s="46"/>
      <c r="M54" s="595"/>
      <c r="N54" s="156" t="str">
        <f>IF(I54&lt;&gt;J54,A54&amp;" ("&amp;I54&amp;", "&amp;J54&amp;")"&amp;", ","")</f>
        <v/>
      </c>
      <c r="O54" s="7" t="str">
        <f>IF(OR(AND(SUM(Table_9_UK!H54)&lt;&gt;0,ISBLANK(Table_9_UK!K54))),"Fail", "Pass")</f>
        <v>Pass</v>
      </c>
      <c r="P54" s="7" t="str">
        <f>"Head "&amp;A54&amp;", "</f>
        <v xml:space="preserve">Head 18b, </v>
      </c>
      <c r="Q54" s="5" t="str">
        <f>IF(O54 = "Fail", P54, "")</f>
        <v/>
      </c>
      <c r="R54" s="7" t="str">
        <f>IF(AND(SUM(H54)=0,NOT(ISBLANK(K54))),"Fail","Pass")</f>
        <v>Pass</v>
      </c>
      <c r="S54" s="7" t="str">
        <f>"Head "&amp;A54&amp;" ("&amp;H54&amp;"), "</f>
        <v xml:space="preserve">Head 18b (0), </v>
      </c>
      <c r="T54" s="5" t="str">
        <f>IF(R54 = "Fail", S54, "")</f>
        <v/>
      </c>
      <c r="U54" s="7" t="str">
        <f>IF(OR(AND(SUM(Table_9_UK!I54)&lt;&gt;0,ISBLANK(Table_9_UK!L54))),"Fail", "Pass")</f>
        <v>Pass</v>
      </c>
      <c r="V54" s="7" t="str">
        <f>"Head "&amp;A54&amp;", "</f>
        <v xml:space="preserve">Head 18b, </v>
      </c>
      <c r="W54" s="5" t="str">
        <f>IF(U54 = "Fail", V54, "")</f>
        <v/>
      </c>
      <c r="X54" s="7" t="str">
        <f>IF(AND(SUM(I54)=0,NOT(ISBLANK(L54))),"Fail","Pass")</f>
        <v>Pass</v>
      </c>
      <c r="Y54" s="7" t="str">
        <f>"Head "&amp;A54&amp;" ("&amp;I54&amp;"), "</f>
        <v xml:space="preserve">Head 18b (0), </v>
      </c>
      <c r="Z54" s="5" t="str">
        <f>IF(X54 = "Fail", Y54, "")</f>
        <v/>
      </c>
    </row>
  </sheetData>
  <sheetProtection algorithmName="SHA-512" hashValue="jHMI7OpkqZynBghm/wKBtTEEu7rye8IxskYZzRle/cHy5352+K3BRc53JHLaMRJWs7HaXgPjiK+sLqkp/JhXdA==" saltValue="yDSS9Thx+fDafoTZz9OwVg==" spinCount="100000" sheet="1" objects="1"/>
  <mergeCells count="7">
    <mergeCell ref="Y3:Z3"/>
    <mergeCell ref="B22:G22"/>
    <mergeCell ref="B1:G1"/>
    <mergeCell ref="K2:L2"/>
    <mergeCell ref="P3:Q3"/>
    <mergeCell ref="S3:T3"/>
    <mergeCell ref="V3:W3"/>
  </mergeCells>
  <conditionalFormatting sqref="I6:I11 I15:I19 I24 I26:I28 I32 I36:I39 I44:I47 I49 I53:I54">
    <cfRule type="expression" dxfId="0" priority="1">
      <formula>I6&lt;&gt;J6</formula>
    </cfRule>
  </conditionalFormatting>
  <dataValidations xWindow="1045" yWindow="2007" count="4">
    <dataValidation type="textLength" allowBlank="1" showInputMessage="1" showErrorMessage="1" promptTitle="Maximum 250 characters" prompt=" " sqref="K6:M11 K15:M19 K24:M28 K32:M32 K36:M39 K44:M47 K49:M49 K53:M54">
      <formula1>0</formula1>
      <formula2>250</formula2>
    </dataValidation>
    <dataValidation type="whole" operator="greaterThan" allowBlank="1" showInputMessage="1" showErrorMessage="1" errorTitle="Whole numbers only allowed" promptTitle="If a value is entered here..." prompt="Please complete the text box to the right (column L)" sqref="I6:I11 I15:I19 I24 I26:I28 I32 I36:I39 I44:I47 I49 I53:I54">
      <formula1>-99999999</formula1>
    </dataValidation>
    <dataValidation type="whole" operator="greaterThan" allowBlank="1" showInputMessage="1" showErrorMessage="1" errorTitle="Whole numbers only allowed" error="All monies should be independently rounded to the nearest £1,000." sqref="H25:J25 H48:I48 H50:I50">
      <formula1>-99999999</formula1>
    </dataValidation>
    <dataValidation type="whole" operator="greaterThan" allowBlank="1" showInputMessage="1" showErrorMessage="1" errorTitle="Whole numbers only allowed" promptTitle="If a value is entered here..." prompt="Please complete the text box to the right (column K)" sqref="H6:H11 H15:H19 H24 H26:H28 H32 H36:H39 H44:H47 H49 H53:H54">
      <formula1>-99999999</formula1>
    </dataValidation>
  </dataValidations>
  <printOptions headings="1" gridLines="1"/>
  <pageMargins left="0.31496062992125984" right="0.31496062992125984" top="0.74803149606299213" bottom="0.74803149606299213" header="0.31496062992125984" footer="0.31496062992125984"/>
  <pageSetup paperSize="8"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C56"/>
  <sheetViews>
    <sheetView zoomScale="80" zoomScaleNormal="80" workbookViewId="0">
      <pane xSplit="7" ySplit="5" topLeftCell="H6" activePane="bottomRight" state="frozenSplit"/>
      <selection activeCell="K6" sqref="K6"/>
      <selection pane="topRight"/>
      <selection pane="bottomLeft"/>
      <selection pane="bottomRight" activeCell="H8" sqref="H8:I8"/>
    </sheetView>
  </sheetViews>
  <sheetFormatPr defaultColWidth="10.7109375" defaultRowHeight="15" x14ac:dyDescent="0.25"/>
  <cols>
    <col min="1" max="1" width="12.28515625" customWidth="1"/>
    <col min="2" max="2" width="4.5703125" customWidth="1"/>
    <col min="3" max="3" width="129.140625" customWidth="1"/>
    <col min="4" max="4" width="53.5703125" hidden="1" customWidth="1"/>
    <col min="5" max="7" width="9.28515625" hidden="1" customWidth="1"/>
    <col min="8" max="8" width="15.5703125" customWidth="1"/>
    <col min="9" max="9" width="15" customWidth="1"/>
    <col min="10" max="10" width="15.28515625" customWidth="1"/>
    <col min="11" max="11" width="14.42578125" customWidth="1"/>
    <col min="12" max="12" width="15.140625" customWidth="1"/>
    <col min="13" max="13" width="15.7109375" customWidth="1"/>
    <col min="14" max="14" width="14.85546875" customWidth="1"/>
    <col min="15" max="15" width="15.28515625" customWidth="1"/>
    <col min="16" max="16" width="15.7109375" customWidth="1"/>
    <col min="17" max="17" width="14.85546875" customWidth="1"/>
    <col min="18" max="18" width="99.28515625" style="152" customWidth="1"/>
    <col min="19" max="19" width="8.140625" style="152" hidden="1" customWidth="1"/>
    <col min="20" max="20" width="16.42578125" hidden="1" customWidth="1"/>
    <col min="21" max="21" width="15.7109375" hidden="1" customWidth="1"/>
    <col min="22" max="22" width="16.42578125" hidden="1" customWidth="1"/>
    <col min="23" max="23" width="14.42578125" hidden="1" customWidth="1"/>
    <col min="24" max="24" width="16.42578125" hidden="1" customWidth="1"/>
    <col min="25" max="25" width="16" hidden="1" customWidth="1"/>
    <col min="26" max="26" width="16.42578125" hidden="1" customWidth="1"/>
    <col min="27" max="27" width="17.7109375" hidden="1" customWidth="1"/>
    <col min="28" max="28" width="5.85546875" hidden="1" customWidth="1"/>
    <col min="29" max="29" width="42.7109375" hidden="1" customWidth="1"/>
  </cols>
  <sheetData>
    <row r="1" spans="1:29" ht="15.4" customHeight="1" x14ac:dyDescent="0.25">
      <c r="A1" s="409" t="s">
        <v>1277</v>
      </c>
      <c r="B1" s="703" t="s">
        <v>1278</v>
      </c>
      <c r="C1" s="703"/>
      <c r="D1" s="703"/>
      <c r="E1" s="703"/>
      <c r="F1" s="703"/>
      <c r="G1" s="703"/>
      <c r="H1" s="758"/>
      <c r="I1" s="758"/>
      <c r="J1" s="758"/>
      <c r="K1" s="758"/>
      <c r="L1" s="758"/>
      <c r="M1" s="601"/>
      <c r="N1" s="601"/>
      <c r="O1" s="601"/>
      <c r="P1" s="601"/>
      <c r="Q1" s="602"/>
      <c r="R1"/>
      <c r="S1"/>
    </row>
    <row r="2" spans="1:29" ht="15.6" customHeight="1" x14ac:dyDescent="0.25">
      <c r="A2" s="760"/>
      <c r="B2" s="761"/>
      <c r="C2" s="761"/>
      <c r="D2" s="761"/>
      <c r="E2" s="761"/>
      <c r="F2" s="372"/>
      <c r="G2" s="372"/>
      <c r="H2" s="759"/>
      <c r="I2" s="759"/>
      <c r="J2" s="759"/>
      <c r="K2" s="759"/>
      <c r="L2" s="759"/>
      <c r="M2" s="604"/>
      <c r="N2" s="605"/>
      <c r="O2" s="605"/>
      <c r="P2" s="605"/>
      <c r="Q2" s="606"/>
      <c r="R2"/>
      <c r="S2"/>
      <c r="T2" s="30" t="s">
        <v>358</v>
      </c>
      <c r="U2" s="30" t="s">
        <v>358</v>
      </c>
      <c r="V2" s="30" t="s">
        <v>358</v>
      </c>
      <c r="W2" s="30" t="s">
        <v>358</v>
      </c>
      <c r="X2" s="30" t="s">
        <v>358</v>
      </c>
      <c r="Y2" s="30" t="s">
        <v>358</v>
      </c>
      <c r="Z2" s="30" t="s">
        <v>358</v>
      </c>
      <c r="AA2" s="30" t="s">
        <v>358</v>
      </c>
      <c r="AC2" s="30" t="s">
        <v>358</v>
      </c>
    </row>
    <row r="3" spans="1:29" ht="72.400000000000006" customHeight="1" x14ac:dyDescent="0.25">
      <c r="A3" s="607"/>
      <c r="B3" s="755" t="s">
        <v>1279</v>
      </c>
      <c r="C3" s="755"/>
      <c r="D3" s="608"/>
      <c r="E3" s="608"/>
      <c r="F3" s="608"/>
      <c r="G3" s="608"/>
      <c r="H3" s="753" t="s">
        <v>1280</v>
      </c>
      <c r="I3" s="754"/>
      <c r="J3" s="753" t="s">
        <v>1281</v>
      </c>
      <c r="K3" s="754"/>
      <c r="L3" s="753" t="s">
        <v>1282</v>
      </c>
      <c r="M3" s="754"/>
      <c r="N3" s="753" t="s">
        <v>1283</v>
      </c>
      <c r="O3" s="754"/>
      <c r="P3" s="753" t="s">
        <v>779</v>
      </c>
      <c r="Q3" s="754"/>
      <c r="R3"/>
      <c r="S3"/>
      <c r="T3" s="753" t="str">
        <f>H3</f>
        <v>Head of provider at 
31 July 2020</v>
      </c>
      <c r="U3" s="754"/>
      <c r="V3" s="753" t="str">
        <f>J3</f>
        <v>Previous Head of provider (1)</v>
      </c>
      <c r="W3" s="754"/>
      <c r="X3" s="753" t="str">
        <f>L3</f>
        <v>Previous Head of provider (2)</v>
      </c>
      <c r="Y3" s="754"/>
      <c r="Z3" s="753" t="str">
        <f>N3</f>
        <v>Previous Head of provider (3)</v>
      </c>
      <c r="AA3" s="754"/>
      <c r="AC3" s="609"/>
    </row>
    <row r="4" spans="1:29" ht="56.25" customHeight="1" x14ac:dyDescent="0.25">
      <c r="A4" s="607"/>
      <c r="B4" s="755" t="s">
        <v>1284</v>
      </c>
      <c r="C4" s="755"/>
      <c r="D4" s="608"/>
      <c r="E4" s="608"/>
      <c r="F4" s="608"/>
      <c r="G4" s="608"/>
      <c r="H4" s="300" t="str">
        <f>'Hide_me(drop_downs)'!I1</f>
        <v>Year ended 31 July 2020</v>
      </c>
      <c r="I4" s="301" t="str">
        <f>'Hide_me(drop_downs)'!J1</f>
        <v>Year ended 31 July 2019</v>
      </c>
      <c r="J4" s="300" t="str">
        <f>'Hide_me(drop_downs)'!I1</f>
        <v>Year ended 31 July 2020</v>
      </c>
      <c r="K4" s="301" t="str">
        <f>'Hide_me(drop_downs)'!J1</f>
        <v>Year ended 31 July 2019</v>
      </c>
      <c r="L4" s="300" t="str">
        <f>'Hide_me(drop_downs)'!I1</f>
        <v>Year ended 31 July 2020</v>
      </c>
      <c r="M4" s="301" t="str">
        <f>'Hide_me(drop_downs)'!J1</f>
        <v>Year ended 31 July 2019</v>
      </c>
      <c r="N4" s="300" t="str">
        <f>'Hide_me(drop_downs)'!I1</f>
        <v>Year ended 31 July 2020</v>
      </c>
      <c r="O4" s="301" t="str">
        <f>'Hide_me(drop_downs)'!J1</f>
        <v>Year ended 31 July 2019</v>
      </c>
      <c r="P4" s="300" t="str">
        <f>'Hide_me(drop_downs)'!I1</f>
        <v>Year ended 31 July 2020</v>
      </c>
      <c r="Q4" s="301" t="str">
        <f>'Hide_me(drop_downs)'!J1</f>
        <v>Year ended 31 July 2019</v>
      </c>
      <c r="R4"/>
      <c r="S4"/>
      <c r="T4" s="300" t="str">
        <f>'Hide_me(drop_downs)'!I1</f>
        <v>Year ended 31 July 2020</v>
      </c>
      <c r="U4" s="301" t="str">
        <f>'Hide_me(drop_downs)'!J1</f>
        <v>Year ended 31 July 2019</v>
      </c>
      <c r="V4" s="300" t="str">
        <f>'Hide_me(drop_downs)'!I1</f>
        <v>Year ended 31 July 2020</v>
      </c>
      <c r="W4" s="301" t="str">
        <f>'Hide_me(drop_downs)'!J1</f>
        <v>Year ended 31 July 2019</v>
      </c>
      <c r="X4" s="300" t="str">
        <f>'Hide_me(drop_downs)'!I1</f>
        <v>Year ended 31 July 2020</v>
      </c>
      <c r="Y4" s="301" t="str">
        <f>'Hide_me(drop_downs)'!J1</f>
        <v>Year ended 31 July 2019</v>
      </c>
      <c r="Z4" s="300" t="str">
        <f>'Hide_me(drop_downs)'!I1</f>
        <v>Year ended 31 July 2020</v>
      </c>
      <c r="AA4" s="301" t="str">
        <f>'Hide_me(drop_downs)'!J1</f>
        <v>Year ended 31 July 2019</v>
      </c>
      <c r="AC4" s="414" t="s">
        <v>1278</v>
      </c>
    </row>
    <row r="5" spans="1:29" ht="26.65" customHeight="1" x14ac:dyDescent="0.25">
      <c r="A5" s="607"/>
      <c r="B5" s="610"/>
      <c r="C5" s="610"/>
      <c r="D5" s="610"/>
      <c r="E5" s="610"/>
      <c r="F5" s="610"/>
      <c r="G5" s="610"/>
      <c r="H5" s="306" t="s">
        <v>717</v>
      </c>
      <c r="I5" s="306" t="s">
        <v>717</v>
      </c>
      <c r="J5" s="306" t="s">
        <v>717</v>
      </c>
      <c r="K5" s="306" t="s">
        <v>717</v>
      </c>
      <c r="L5" s="306" t="s">
        <v>717</v>
      </c>
      <c r="M5" s="306" t="s">
        <v>717</v>
      </c>
      <c r="N5" s="306" t="s">
        <v>717</v>
      </c>
      <c r="O5" s="306" t="s">
        <v>717</v>
      </c>
      <c r="P5" s="306" t="s">
        <v>717</v>
      </c>
      <c r="Q5" s="306" t="s">
        <v>717</v>
      </c>
      <c r="R5"/>
      <c r="S5"/>
      <c r="T5" s="306" t="s">
        <v>717</v>
      </c>
      <c r="U5" s="306" t="s">
        <v>717</v>
      </c>
      <c r="V5" s="306" t="s">
        <v>717</v>
      </c>
      <c r="W5" s="306" t="s">
        <v>717</v>
      </c>
      <c r="X5" s="306" t="s">
        <v>717</v>
      </c>
      <c r="Y5" s="306" t="s">
        <v>717</v>
      </c>
      <c r="Z5" s="306" t="s">
        <v>717</v>
      </c>
      <c r="AA5" s="306" t="s">
        <v>717</v>
      </c>
      <c r="AC5" s="414" t="s">
        <v>1285</v>
      </c>
    </row>
    <row r="6" spans="1:29" x14ac:dyDescent="0.25">
      <c r="A6" s="345" t="s">
        <v>723</v>
      </c>
      <c r="B6" s="469" t="s">
        <v>1286</v>
      </c>
      <c r="C6" s="499"/>
      <c r="D6" s="469"/>
      <c r="E6" s="314"/>
      <c r="F6" s="314"/>
      <c r="G6" s="315"/>
      <c r="H6" s="756" t="s">
        <v>1287</v>
      </c>
      <c r="I6" s="757"/>
      <c r="J6" s="756" t="s">
        <v>1288</v>
      </c>
      <c r="K6" s="757"/>
      <c r="L6" s="756" t="s">
        <v>1288</v>
      </c>
      <c r="M6" s="757"/>
      <c r="N6" s="756" t="s">
        <v>1288</v>
      </c>
      <c r="O6" s="757"/>
      <c r="P6" s="744" t="s">
        <v>1289</v>
      </c>
      <c r="Q6" s="745"/>
    </row>
    <row r="7" spans="1:29" x14ac:dyDescent="0.25">
      <c r="A7" s="345" t="s">
        <v>725</v>
      </c>
      <c r="B7" s="469" t="s">
        <v>1290</v>
      </c>
      <c r="C7" s="499"/>
      <c r="D7" s="469"/>
      <c r="E7" s="314"/>
      <c r="F7" s="314"/>
      <c r="G7" s="315"/>
      <c r="H7" s="751" t="s">
        <v>1291</v>
      </c>
      <c r="I7" s="752"/>
      <c r="J7" s="751"/>
      <c r="K7" s="752"/>
      <c r="L7" s="751"/>
      <c r="M7" s="752"/>
      <c r="N7" s="751"/>
      <c r="O7" s="752"/>
      <c r="P7" s="744" t="s">
        <v>1289</v>
      </c>
      <c r="Q7" s="745"/>
      <c r="T7" s="611" t="str">
        <f>IF(TEXT(H7,"YYYYMMDD")="19000100","0",TEXT(H7,"YYYYMMDD"))</f>
        <v>20180205</v>
      </c>
      <c r="V7" s="611" t="str">
        <f>IF(TEXT(J7,"YYYYMMDD")="19000100","0",TEXT(J7,"YYYYMMDD"))</f>
        <v>0</v>
      </c>
      <c r="X7" s="611" t="str">
        <f>IF(TEXT(L7,"YYYYMMDD")="19000100","0",TEXT(L7,"YYYYMMDD"))</f>
        <v>0</v>
      </c>
      <c r="Z7" s="611" t="str">
        <f>IF(TEXT(N7,"YYYYMMDD")="19000100","0",TEXT(N7,"YYYYMMDD"))</f>
        <v>0</v>
      </c>
    </row>
    <row r="8" spans="1:29" x14ac:dyDescent="0.25">
      <c r="A8" s="345" t="s">
        <v>727</v>
      </c>
      <c r="B8" s="469" t="s">
        <v>1292</v>
      </c>
      <c r="C8" s="499"/>
      <c r="D8" s="469"/>
      <c r="E8" s="314"/>
      <c r="F8" s="314"/>
      <c r="G8" s="315"/>
      <c r="H8" s="751"/>
      <c r="I8" s="752"/>
      <c r="J8" s="751"/>
      <c r="K8" s="752"/>
      <c r="L8" s="751"/>
      <c r="M8" s="752"/>
      <c r="N8" s="751"/>
      <c r="O8" s="752"/>
      <c r="P8" s="744" t="s">
        <v>1289</v>
      </c>
      <c r="Q8" s="745"/>
      <c r="T8" s="611" t="str">
        <f>IF(TEXT(H8,"YYYYMMDD")="19000100","0",TEXT(H8,"YYYYMMDD"))</f>
        <v>0</v>
      </c>
      <c r="V8" s="611" t="str">
        <f>IF(TEXT(J8,"YYYYMMDD")="19000100","0",TEXT(J8,"YYYYMMDD"))</f>
        <v>0</v>
      </c>
      <c r="X8" s="611" t="str">
        <f>IF(TEXT(L8,"YYYYMMDD")="19000100","0",TEXT(L8,"YYYYMMDD"))</f>
        <v>0</v>
      </c>
      <c r="Z8" s="611" t="str">
        <f>IF(TEXT(N8,"YYYYMMDD")="19000100","0",TEXT(N8,"YYYYMMDD"))</f>
        <v>0</v>
      </c>
    </row>
    <row r="9" spans="1:29" x14ac:dyDescent="0.25">
      <c r="A9" s="345"/>
      <c r="B9" s="469"/>
      <c r="C9" s="499"/>
      <c r="D9" s="612"/>
      <c r="E9" s="613"/>
      <c r="F9" s="314"/>
      <c r="G9" s="315"/>
      <c r="H9" s="614"/>
      <c r="I9" s="615"/>
      <c r="J9" s="614"/>
      <c r="K9" s="615"/>
      <c r="L9" s="614"/>
      <c r="M9" s="615"/>
      <c r="N9" s="614"/>
      <c r="O9" s="615"/>
      <c r="P9" s="137"/>
      <c r="Q9" s="138"/>
      <c r="T9" s="616"/>
      <c r="V9" s="616"/>
      <c r="X9" s="616"/>
      <c r="Z9" s="616"/>
    </row>
    <row r="10" spans="1:29" x14ac:dyDescent="0.25">
      <c r="A10" s="345">
        <v>2</v>
      </c>
      <c r="B10" s="617" t="s">
        <v>1293</v>
      </c>
      <c r="C10" s="618"/>
      <c r="D10" s="619"/>
      <c r="E10" s="620"/>
      <c r="F10" s="621"/>
      <c r="G10" s="621"/>
      <c r="H10" s="622"/>
      <c r="I10" s="622"/>
      <c r="J10" s="622"/>
      <c r="K10" s="622"/>
      <c r="L10" s="622"/>
      <c r="M10" s="622"/>
      <c r="N10" s="622"/>
      <c r="O10" s="622"/>
      <c r="P10" s="622"/>
      <c r="Q10" s="622"/>
    </row>
    <row r="11" spans="1:29" x14ac:dyDescent="0.25">
      <c r="A11" s="345" t="s">
        <v>738</v>
      </c>
      <c r="B11" s="469" t="s">
        <v>1294</v>
      </c>
      <c r="C11" s="469"/>
      <c r="D11" s="469"/>
      <c r="E11" s="314"/>
      <c r="F11" s="314"/>
      <c r="G11" s="315"/>
      <c r="H11" s="320">
        <v>342</v>
      </c>
      <c r="I11" s="320">
        <v>342</v>
      </c>
      <c r="J11" s="320">
        <v>0</v>
      </c>
      <c r="K11" s="320">
        <v>0</v>
      </c>
      <c r="L11" s="320">
        <v>0</v>
      </c>
      <c r="M11" s="320">
        <v>0</v>
      </c>
      <c r="N11" s="320">
        <v>0</v>
      </c>
      <c r="O11" s="320">
        <v>0</v>
      </c>
      <c r="P11" s="744" t="s">
        <v>1289</v>
      </c>
      <c r="Q11" s="745"/>
    </row>
    <row r="12" spans="1:29" x14ac:dyDescent="0.25">
      <c r="A12" s="345"/>
      <c r="B12" s="469"/>
      <c r="C12" s="469"/>
      <c r="D12" s="612"/>
      <c r="E12" s="613"/>
      <c r="F12" s="314"/>
      <c r="G12" s="315"/>
      <c r="H12" s="393"/>
      <c r="I12" s="393"/>
      <c r="J12" s="393"/>
      <c r="K12" s="393"/>
      <c r="L12" s="393"/>
      <c r="M12" s="393"/>
      <c r="N12" s="393"/>
      <c r="O12" s="393"/>
      <c r="P12" s="136"/>
      <c r="Q12" s="136"/>
    </row>
    <row r="13" spans="1:29" x14ac:dyDescent="0.25">
      <c r="A13" s="345" t="s">
        <v>740</v>
      </c>
      <c r="B13" s="617" t="s">
        <v>1295</v>
      </c>
      <c r="C13" s="618"/>
      <c r="D13" s="619"/>
      <c r="E13" s="620"/>
      <c r="F13" s="621"/>
      <c r="G13" s="621"/>
      <c r="H13" s="622"/>
      <c r="I13" s="622"/>
      <c r="J13" s="622"/>
      <c r="K13" s="622"/>
      <c r="L13" s="622"/>
      <c r="M13" s="622"/>
      <c r="N13" s="622"/>
      <c r="O13" s="622"/>
      <c r="P13" s="622"/>
      <c r="Q13" s="622"/>
    </row>
    <row r="14" spans="1:29" x14ac:dyDescent="0.25">
      <c r="A14" s="345" t="s">
        <v>1084</v>
      </c>
      <c r="B14" s="469"/>
      <c r="C14" s="469" t="s">
        <v>1296</v>
      </c>
      <c r="D14" s="469"/>
      <c r="E14" s="314"/>
      <c r="F14" s="314"/>
      <c r="G14" s="315"/>
      <c r="H14" s="320">
        <v>342</v>
      </c>
      <c r="I14" s="320">
        <v>342</v>
      </c>
      <c r="J14" s="320">
        <v>0</v>
      </c>
      <c r="K14" s="320">
        <v>0</v>
      </c>
      <c r="L14" s="320">
        <v>0</v>
      </c>
      <c r="M14" s="320">
        <v>0</v>
      </c>
      <c r="N14" s="320">
        <v>0</v>
      </c>
      <c r="O14" s="320">
        <v>0</v>
      </c>
      <c r="P14" s="349">
        <f>SUM(H14+J14+L14+N14)</f>
        <v>342</v>
      </c>
      <c r="Q14" s="349">
        <f>SUM(I14+K14+M14+O14)</f>
        <v>342</v>
      </c>
    </row>
    <row r="15" spans="1:29" x14ac:dyDescent="0.25">
      <c r="A15" s="345" t="s">
        <v>1086</v>
      </c>
      <c r="B15" s="469"/>
      <c r="C15" s="469" t="s">
        <v>1297</v>
      </c>
      <c r="D15" s="469"/>
      <c r="E15" s="314"/>
      <c r="F15" s="314"/>
      <c r="G15" s="315"/>
      <c r="H15" s="320">
        <v>0</v>
      </c>
      <c r="I15" s="320">
        <v>0</v>
      </c>
      <c r="J15" s="320">
        <v>0</v>
      </c>
      <c r="K15" s="320">
        <v>0</v>
      </c>
      <c r="L15" s="320">
        <v>0</v>
      </c>
      <c r="M15" s="320">
        <v>0</v>
      </c>
      <c r="N15" s="320">
        <v>0</v>
      </c>
      <c r="O15" s="320">
        <v>0</v>
      </c>
      <c r="P15" s="349">
        <f>SUM(H15+J15+L15+N15)</f>
        <v>0</v>
      </c>
      <c r="Q15" s="349">
        <f>SUM(I15+K15+M15+O15)</f>
        <v>0</v>
      </c>
    </row>
    <row r="16" spans="1:29" x14ac:dyDescent="0.25">
      <c r="A16" s="345" t="s">
        <v>1088</v>
      </c>
      <c r="B16" s="503" t="s">
        <v>1298</v>
      </c>
      <c r="C16" s="390"/>
      <c r="D16" s="623"/>
      <c r="E16" s="624"/>
      <c r="F16" s="625"/>
      <c r="G16" s="625"/>
      <c r="H16" s="349">
        <f t="shared" ref="H16:Q16" si="0">SUM(H14:H15)</f>
        <v>342</v>
      </c>
      <c r="I16" s="349">
        <f t="shared" si="0"/>
        <v>342</v>
      </c>
      <c r="J16" s="349">
        <f t="shared" si="0"/>
        <v>0</v>
      </c>
      <c r="K16" s="349">
        <f t="shared" si="0"/>
        <v>0</v>
      </c>
      <c r="L16" s="349">
        <f t="shared" si="0"/>
        <v>0</v>
      </c>
      <c r="M16" s="349">
        <f t="shared" si="0"/>
        <v>0</v>
      </c>
      <c r="N16" s="349">
        <f t="shared" si="0"/>
        <v>0</v>
      </c>
      <c r="O16" s="349">
        <f t="shared" si="0"/>
        <v>0</v>
      </c>
      <c r="P16" s="349">
        <f t="shared" si="0"/>
        <v>342</v>
      </c>
      <c r="Q16" s="349">
        <f t="shared" si="0"/>
        <v>342</v>
      </c>
    </row>
    <row r="17" spans="1:23" x14ac:dyDescent="0.25">
      <c r="A17" s="345" t="s">
        <v>742</v>
      </c>
      <c r="B17" s="469"/>
      <c r="C17" s="469" t="s">
        <v>1299</v>
      </c>
      <c r="D17" s="469"/>
      <c r="E17" s="326"/>
      <c r="F17" s="326"/>
      <c r="G17" s="326"/>
      <c r="H17" s="320">
        <v>57</v>
      </c>
      <c r="I17" s="320">
        <v>51</v>
      </c>
      <c r="J17" s="320">
        <v>0</v>
      </c>
      <c r="K17" s="320">
        <v>0</v>
      </c>
      <c r="L17" s="320">
        <v>0</v>
      </c>
      <c r="M17" s="320">
        <v>0</v>
      </c>
      <c r="N17" s="320">
        <v>0</v>
      </c>
      <c r="O17" s="320">
        <v>0</v>
      </c>
      <c r="P17" s="324">
        <f t="shared" ref="P17:Q22" si="1">SUM(H17+J17+L17+N17)</f>
        <v>57</v>
      </c>
      <c r="Q17" s="324">
        <f t="shared" si="1"/>
        <v>51</v>
      </c>
    </row>
    <row r="18" spans="1:23" x14ac:dyDescent="0.25">
      <c r="A18" s="345" t="s">
        <v>744</v>
      </c>
      <c r="B18" s="469"/>
      <c r="C18" s="469" t="s">
        <v>1300</v>
      </c>
      <c r="D18" s="469"/>
      <c r="E18" s="314"/>
      <c r="F18" s="314"/>
      <c r="G18" s="315"/>
      <c r="H18" s="320">
        <v>0</v>
      </c>
      <c r="I18" s="320">
        <v>0</v>
      </c>
      <c r="J18" s="320">
        <v>0</v>
      </c>
      <c r="K18" s="320">
        <v>0</v>
      </c>
      <c r="L18" s="320">
        <v>0</v>
      </c>
      <c r="M18" s="320">
        <v>0</v>
      </c>
      <c r="N18" s="320">
        <v>0</v>
      </c>
      <c r="O18" s="320">
        <v>0</v>
      </c>
      <c r="P18" s="324">
        <f t="shared" si="1"/>
        <v>0</v>
      </c>
      <c r="Q18" s="324">
        <f t="shared" si="1"/>
        <v>0</v>
      </c>
    </row>
    <row r="19" spans="1:23" x14ac:dyDescent="0.25">
      <c r="A19" s="345" t="s">
        <v>746</v>
      </c>
      <c r="B19" s="469"/>
      <c r="C19" s="469" t="s">
        <v>1301</v>
      </c>
      <c r="D19" s="469"/>
      <c r="E19" s="326"/>
      <c r="F19" s="315"/>
      <c r="G19" s="315"/>
      <c r="H19" s="320">
        <v>0</v>
      </c>
      <c r="I19" s="320">
        <v>0</v>
      </c>
      <c r="J19" s="320">
        <v>0</v>
      </c>
      <c r="K19" s="320">
        <v>0</v>
      </c>
      <c r="L19" s="320">
        <v>0</v>
      </c>
      <c r="M19" s="320">
        <v>0</v>
      </c>
      <c r="N19" s="320">
        <v>0</v>
      </c>
      <c r="O19" s="320">
        <v>0</v>
      </c>
      <c r="P19" s="324">
        <f t="shared" si="1"/>
        <v>0</v>
      </c>
      <c r="Q19" s="324">
        <f t="shared" si="1"/>
        <v>0</v>
      </c>
    </row>
    <row r="20" spans="1:23" x14ac:dyDescent="0.25">
      <c r="A20" s="345" t="s">
        <v>748</v>
      </c>
      <c r="B20" s="469"/>
      <c r="C20" s="469" t="s">
        <v>1302</v>
      </c>
      <c r="D20" s="469"/>
      <c r="E20" s="353"/>
      <c r="F20" s="353"/>
      <c r="G20" s="353"/>
      <c r="H20" s="320">
        <v>0</v>
      </c>
      <c r="I20" s="320">
        <v>0</v>
      </c>
      <c r="J20" s="320">
        <v>0</v>
      </c>
      <c r="K20" s="320">
        <v>0</v>
      </c>
      <c r="L20" s="320">
        <v>0</v>
      </c>
      <c r="M20" s="320">
        <v>0</v>
      </c>
      <c r="N20" s="320">
        <v>0</v>
      </c>
      <c r="O20" s="320">
        <v>0</v>
      </c>
      <c r="P20" s="324">
        <f t="shared" si="1"/>
        <v>0</v>
      </c>
      <c r="Q20" s="324">
        <f t="shared" si="1"/>
        <v>0</v>
      </c>
    </row>
    <row r="21" spans="1:23" x14ac:dyDescent="0.25">
      <c r="A21" s="345" t="s">
        <v>811</v>
      </c>
      <c r="B21" s="469"/>
      <c r="C21" s="469" t="s">
        <v>1303</v>
      </c>
      <c r="D21" s="469"/>
      <c r="E21" s="326"/>
      <c r="F21" s="315"/>
      <c r="G21" s="315"/>
      <c r="H21" s="320">
        <v>0</v>
      </c>
      <c r="I21" s="320">
        <v>0</v>
      </c>
      <c r="J21" s="320">
        <v>0</v>
      </c>
      <c r="K21" s="320">
        <v>0</v>
      </c>
      <c r="L21" s="320">
        <v>0</v>
      </c>
      <c r="M21" s="320">
        <v>0</v>
      </c>
      <c r="N21" s="320">
        <v>0</v>
      </c>
      <c r="O21" s="320">
        <v>0</v>
      </c>
      <c r="P21" s="324">
        <f t="shared" si="1"/>
        <v>0</v>
      </c>
      <c r="Q21" s="324">
        <f t="shared" si="1"/>
        <v>0</v>
      </c>
    </row>
    <row r="22" spans="1:23" x14ac:dyDescent="0.25">
      <c r="A22" s="345" t="s">
        <v>813</v>
      </c>
      <c r="B22" s="469"/>
      <c r="C22" s="469" t="s">
        <v>1304</v>
      </c>
      <c r="D22" s="469"/>
      <c r="E22" s="353"/>
      <c r="F22" s="353"/>
      <c r="G22" s="353"/>
      <c r="H22" s="320">
        <v>0</v>
      </c>
      <c r="I22" s="320">
        <v>0</v>
      </c>
      <c r="J22" s="320">
        <v>0</v>
      </c>
      <c r="K22" s="320">
        <v>0</v>
      </c>
      <c r="L22" s="320">
        <v>0</v>
      </c>
      <c r="M22" s="320">
        <v>0</v>
      </c>
      <c r="N22" s="320">
        <v>0</v>
      </c>
      <c r="O22" s="320">
        <v>0</v>
      </c>
      <c r="P22" s="324">
        <f t="shared" si="1"/>
        <v>0</v>
      </c>
      <c r="Q22" s="324">
        <f t="shared" si="1"/>
        <v>0</v>
      </c>
    </row>
    <row r="23" spans="1:23" x14ac:dyDescent="0.25">
      <c r="A23" s="345" t="s">
        <v>892</v>
      </c>
      <c r="B23" s="335" t="s">
        <v>1305</v>
      </c>
      <c r="C23" s="626"/>
      <c r="D23" s="627"/>
      <c r="E23" s="625"/>
      <c r="F23" s="625"/>
      <c r="G23" s="625"/>
      <c r="H23" s="349">
        <f t="shared" ref="H23:O23" si="2">SUM(H14,H17:H22)</f>
        <v>399</v>
      </c>
      <c r="I23" s="349">
        <f t="shared" si="2"/>
        <v>393</v>
      </c>
      <c r="J23" s="349">
        <f t="shared" si="2"/>
        <v>0</v>
      </c>
      <c r="K23" s="349">
        <f t="shared" si="2"/>
        <v>0</v>
      </c>
      <c r="L23" s="349">
        <f t="shared" si="2"/>
        <v>0</v>
      </c>
      <c r="M23" s="349">
        <f t="shared" si="2"/>
        <v>0</v>
      </c>
      <c r="N23" s="349">
        <f t="shared" si="2"/>
        <v>0</v>
      </c>
      <c r="O23" s="349">
        <f t="shared" si="2"/>
        <v>0</v>
      </c>
      <c r="P23" s="349">
        <f>SUM(P16:P22)</f>
        <v>399</v>
      </c>
      <c r="Q23" s="349">
        <f>SUM(Q16:Q22)</f>
        <v>393</v>
      </c>
    </row>
    <row r="24" spans="1:23" x14ac:dyDescent="0.25">
      <c r="A24" s="345"/>
      <c r="B24" s="118"/>
      <c r="C24" s="187"/>
      <c r="E24" s="117"/>
      <c r="F24" s="33"/>
      <c r="G24" s="33"/>
      <c r="H24" s="44"/>
      <c r="I24" s="44"/>
      <c r="J24" s="44"/>
      <c r="K24" s="44"/>
      <c r="L24" s="44"/>
      <c r="M24" s="44"/>
      <c r="N24" s="44"/>
      <c r="O24" s="44"/>
      <c r="P24" s="44"/>
      <c r="Q24" s="44"/>
    </row>
    <row r="25" spans="1:23" x14ac:dyDescent="0.25">
      <c r="A25" s="345">
        <v>3</v>
      </c>
      <c r="B25" s="466" t="s">
        <v>1306</v>
      </c>
      <c r="C25" s="618"/>
      <c r="D25" s="619"/>
      <c r="E25" s="620"/>
      <c r="F25" s="621"/>
      <c r="G25" s="621"/>
      <c r="H25" s="622"/>
      <c r="I25" s="622"/>
      <c r="J25" s="622"/>
      <c r="K25" s="622"/>
      <c r="L25" s="622"/>
      <c r="M25" s="622"/>
      <c r="N25" s="622"/>
      <c r="O25" s="622"/>
      <c r="P25" s="628"/>
      <c r="Q25" s="628"/>
    </row>
    <row r="26" spans="1:23" x14ac:dyDescent="0.25">
      <c r="A26" s="345" t="s">
        <v>816</v>
      </c>
      <c r="B26" s="498"/>
      <c r="C26" s="469" t="s">
        <v>1307</v>
      </c>
      <c r="D26" s="469"/>
      <c r="E26" s="326"/>
      <c r="F26" s="315"/>
      <c r="G26" s="315"/>
      <c r="H26" s="320">
        <v>0</v>
      </c>
      <c r="I26" s="320">
        <v>0</v>
      </c>
      <c r="J26" s="320">
        <v>0</v>
      </c>
      <c r="K26" s="320">
        <v>0</v>
      </c>
      <c r="L26" s="320">
        <v>0</v>
      </c>
      <c r="M26" s="320">
        <v>0</v>
      </c>
      <c r="N26" s="320">
        <v>0</v>
      </c>
      <c r="O26" s="320">
        <v>0</v>
      </c>
      <c r="P26" s="324">
        <f t="shared" ref="P26:Q29" si="3">SUM(H26+J26+L26+N26)</f>
        <v>0</v>
      </c>
      <c r="Q26" s="324">
        <f t="shared" si="3"/>
        <v>0</v>
      </c>
    </row>
    <row r="27" spans="1:23" x14ac:dyDescent="0.25">
      <c r="A27" s="345" t="s">
        <v>818</v>
      </c>
      <c r="B27" s="498"/>
      <c r="C27" s="469" t="s">
        <v>1308</v>
      </c>
      <c r="D27" s="469"/>
      <c r="E27" s="629"/>
      <c r="F27" s="333"/>
      <c r="G27" s="333"/>
      <c r="H27" s="320">
        <v>0</v>
      </c>
      <c r="I27" s="320">
        <v>0</v>
      </c>
      <c r="J27" s="320">
        <v>0</v>
      </c>
      <c r="K27" s="320">
        <v>0</v>
      </c>
      <c r="L27" s="320">
        <v>0</v>
      </c>
      <c r="M27" s="320">
        <v>0</v>
      </c>
      <c r="N27" s="320">
        <v>0</v>
      </c>
      <c r="O27" s="320">
        <v>0</v>
      </c>
      <c r="P27" s="324">
        <f t="shared" si="3"/>
        <v>0</v>
      </c>
      <c r="Q27" s="324">
        <f t="shared" si="3"/>
        <v>0</v>
      </c>
    </row>
    <row r="28" spans="1:23" x14ac:dyDescent="0.25">
      <c r="A28" s="345" t="s">
        <v>820</v>
      </c>
      <c r="B28" s="498"/>
      <c r="C28" s="469" t="s">
        <v>1309</v>
      </c>
      <c r="D28" s="469"/>
      <c r="E28" s="326"/>
      <c r="F28" s="315"/>
      <c r="G28" s="315"/>
      <c r="H28" s="320">
        <v>8</v>
      </c>
      <c r="I28" s="320">
        <v>10</v>
      </c>
      <c r="J28" s="320">
        <v>0</v>
      </c>
      <c r="K28" s="320">
        <v>0</v>
      </c>
      <c r="L28" s="320">
        <v>0</v>
      </c>
      <c r="M28" s="320">
        <v>0</v>
      </c>
      <c r="N28" s="320">
        <v>0</v>
      </c>
      <c r="O28" s="320">
        <v>0</v>
      </c>
      <c r="P28" s="324">
        <f t="shared" si="3"/>
        <v>8</v>
      </c>
      <c r="Q28" s="324">
        <f t="shared" si="3"/>
        <v>10</v>
      </c>
      <c r="R28" s="6" t="s">
        <v>1310</v>
      </c>
      <c r="S28" s="6"/>
      <c r="T28" s="72"/>
      <c r="U28" s="72"/>
      <c r="V28" s="72"/>
      <c r="W28" s="72"/>
    </row>
    <row r="29" spans="1:23" x14ac:dyDescent="0.25">
      <c r="A29" s="345" t="s">
        <v>822</v>
      </c>
      <c r="B29" s="498"/>
      <c r="C29" s="469" t="s">
        <v>1306</v>
      </c>
      <c r="D29" s="469"/>
      <c r="E29" s="630"/>
      <c r="F29" s="352"/>
      <c r="G29" s="352"/>
      <c r="H29" s="320">
        <v>0</v>
      </c>
      <c r="I29" s="320">
        <v>0</v>
      </c>
      <c r="J29" s="320">
        <v>0</v>
      </c>
      <c r="K29" s="320">
        <v>0</v>
      </c>
      <c r="L29" s="320">
        <v>0</v>
      </c>
      <c r="M29" s="320">
        <v>0</v>
      </c>
      <c r="N29" s="320">
        <v>0</v>
      </c>
      <c r="O29" s="320">
        <v>0</v>
      </c>
      <c r="P29" s="324">
        <f t="shared" si="3"/>
        <v>0</v>
      </c>
      <c r="Q29" s="324">
        <f t="shared" si="3"/>
        <v>0</v>
      </c>
      <c r="R29" s="631"/>
      <c r="S29" s="632"/>
    </row>
    <row r="30" spans="1:23" x14ac:dyDescent="0.25">
      <c r="A30" s="345" t="s">
        <v>824</v>
      </c>
      <c r="B30" s="504" t="s">
        <v>1311</v>
      </c>
      <c r="C30" s="390"/>
      <c r="D30" s="627"/>
      <c r="E30" s="625"/>
      <c r="F30" s="625"/>
      <c r="G30" s="625"/>
      <c r="H30" s="349">
        <f t="shared" ref="H30:Q30" si="4">SUM(H26:H29)</f>
        <v>8</v>
      </c>
      <c r="I30" s="349">
        <f t="shared" si="4"/>
        <v>10</v>
      </c>
      <c r="J30" s="349">
        <f t="shared" si="4"/>
        <v>0</v>
      </c>
      <c r="K30" s="349">
        <f t="shared" si="4"/>
        <v>0</v>
      </c>
      <c r="L30" s="349">
        <f t="shared" si="4"/>
        <v>0</v>
      </c>
      <c r="M30" s="349">
        <f t="shared" si="4"/>
        <v>0</v>
      </c>
      <c r="N30" s="349">
        <f t="shared" si="4"/>
        <v>0</v>
      </c>
      <c r="O30" s="349">
        <f t="shared" si="4"/>
        <v>0</v>
      </c>
      <c r="P30" s="324">
        <f t="shared" si="4"/>
        <v>8</v>
      </c>
      <c r="Q30" s="324">
        <f t="shared" si="4"/>
        <v>10</v>
      </c>
      <c r="R30" s="153"/>
      <c r="S30" s="153"/>
    </row>
    <row r="31" spans="1:23" x14ac:dyDescent="0.25">
      <c r="A31" s="345"/>
      <c r="B31" s="118"/>
      <c r="C31" s="119"/>
      <c r="E31" s="117"/>
      <c r="F31" s="33"/>
      <c r="G31" s="33"/>
      <c r="H31" s="44"/>
      <c r="I31" s="44"/>
      <c r="J31" s="44"/>
      <c r="K31" s="44"/>
      <c r="L31" s="44"/>
      <c r="M31" s="44"/>
      <c r="N31" s="44"/>
      <c r="O31" s="44"/>
      <c r="P31" s="111"/>
      <c r="Q31" s="111"/>
      <c r="R31" s="153"/>
      <c r="S31" s="153"/>
    </row>
    <row r="32" spans="1:23" x14ac:dyDescent="0.25">
      <c r="A32" s="345">
        <v>4</v>
      </c>
      <c r="B32" s="466" t="s">
        <v>1312</v>
      </c>
      <c r="C32" s="618"/>
      <c r="D32" s="619"/>
      <c r="E32" s="620"/>
      <c r="F32" s="621"/>
      <c r="G32" s="621"/>
      <c r="H32" s="622"/>
      <c r="I32" s="622"/>
      <c r="J32" s="622"/>
      <c r="K32" s="622"/>
      <c r="L32" s="622"/>
      <c r="M32" s="622"/>
      <c r="N32" s="622"/>
      <c r="O32" s="622"/>
      <c r="P32" s="628"/>
      <c r="Q32" s="628"/>
      <c r="R32" s="153"/>
      <c r="S32" s="153"/>
    </row>
    <row r="33" spans="1:27" x14ac:dyDescent="0.25">
      <c r="A33" s="345" t="s">
        <v>878</v>
      </c>
      <c r="B33" s="498"/>
      <c r="C33" s="469" t="s">
        <v>1313</v>
      </c>
      <c r="D33" s="469"/>
      <c r="E33" s="315"/>
      <c r="F33" s="315"/>
      <c r="G33" s="315"/>
      <c r="H33" s="320">
        <v>0</v>
      </c>
      <c r="I33" s="320">
        <v>0</v>
      </c>
      <c r="J33" s="320">
        <v>0</v>
      </c>
      <c r="K33" s="320">
        <v>0</v>
      </c>
      <c r="L33" s="320">
        <v>0</v>
      </c>
      <c r="M33" s="320">
        <v>0</v>
      </c>
      <c r="N33" s="320">
        <v>0</v>
      </c>
      <c r="O33" s="320">
        <v>0</v>
      </c>
      <c r="P33" s="324">
        <f t="shared" ref="P33:Q35" si="5">SUM(H33+J33+L33+N33)</f>
        <v>0</v>
      </c>
      <c r="Q33" s="324">
        <f t="shared" si="5"/>
        <v>0</v>
      </c>
      <c r="R33" s="153"/>
      <c r="S33" s="153"/>
    </row>
    <row r="34" spans="1:27" x14ac:dyDescent="0.25">
      <c r="A34" s="345" t="s">
        <v>1114</v>
      </c>
      <c r="B34" s="498"/>
      <c r="C34" s="469" t="s">
        <v>1314</v>
      </c>
      <c r="D34" s="469"/>
      <c r="E34" s="315"/>
      <c r="F34" s="315"/>
      <c r="G34" s="315"/>
      <c r="H34" s="320">
        <v>0</v>
      </c>
      <c r="I34" s="320">
        <v>0</v>
      </c>
      <c r="J34" s="320">
        <v>0</v>
      </c>
      <c r="K34" s="320">
        <v>0</v>
      </c>
      <c r="L34" s="320">
        <v>0</v>
      </c>
      <c r="M34" s="320">
        <v>0</v>
      </c>
      <c r="N34" s="320">
        <v>0</v>
      </c>
      <c r="O34" s="320">
        <v>0</v>
      </c>
      <c r="P34" s="324">
        <f t="shared" si="5"/>
        <v>0</v>
      </c>
      <c r="Q34" s="324">
        <f t="shared" si="5"/>
        <v>0</v>
      </c>
      <c r="R34" s="6" t="s">
        <v>1315</v>
      </c>
      <c r="S34" s="6"/>
    </row>
    <row r="35" spans="1:27" x14ac:dyDescent="0.25">
      <c r="A35" s="345" t="s">
        <v>1116</v>
      </c>
      <c r="B35" s="498"/>
      <c r="C35" s="469" t="s">
        <v>1316</v>
      </c>
      <c r="D35" s="469"/>
      <c r="E35" s="315"/>
      <c r="F35" s="315"/>
      <c r="G35" s="315"/>
      <c r="H35" s="320">
        <v>0</v>
      </c>
      <c r="I35" s="320">
        <v>0</v>
      </c>
      <c r="J35" s="320">
        <v>0</v>
      </c>
      <c r="K35" s="320">
        <v>0</v>
      </c>
      <c r="L35" s="320">
        <v>0</v>
      </c>
      <c r="M35" s="320">
        <v>0</v>
      </c>
      <c r="N35" s="320">
        <v>0</v>
      </c>
      <c r="O35" s="320">
        <v>0</v>
      </c>
      <c r="P35" s="324">
        <f t="shared" si="5"/>
        <v>0</v>
      </c>
      <c r="Q35" s="324">
        <f t="shared" si="5"/>
        <v>0</v>
      </c>
      <c r="R35" s="631"/>
      <c r="S35" s="632"/>
    </row>
    <row r="36" spans="1:27" x14ac:dyDescent="0.25">
      <c r="A36" s="345" t="s">
        <v>1159</v>
      </c>
      <c r="B36" s="335" t="s">
        <v>1317</v>
      </c>
      <c r="C36" s="626"/>
      <c r="D36" s="633"/>
      <c r="E36" s="634"/>
      <c r="F36" s="634"/>
      <c r="G36" s="634"/>
      <c r="H36" s="349">
        <f t="shared" ref="H36:Q36" si="6">SUM(H33:H35)</f>
        <v>0</v>
      </c>
      <c r="I36" s="349">
        <f t="shared" si="6"/>
        <v>0</v>
      </c>
      <c r="J36" s="349">
        <f t="shared" si="6"/>
        <v>0</v>
      </c>
      <c r="K36" s="349">
        <f t="shared" si="6"/>
        <v>0</v>
      </c>
      <c r="L36" s="349">
        <f t="shared" si="6"/>
        <v>0</v>
      </c>
      <c r="M36" s="349">
        <f t="shared" si="6"/>
        <v>0</v>
      </c>
      <c r="N36" s="349">
        <f t="shared" si="6"/>
        <v>0</v>
      </c>
      <c r="O36" s="349">
        <f t="shared" si="6"/>
        <v>0</v>
      </c>
      <c r="P36" s="349">
        <f t="shared" si="6"/>
        <v>0</v>
      </c>
      <c r="Q36" s="349">
        <f t="shared" si="6"/>
        <v>0</v>
      </c>
    </row>
    <row r="37" spans="1:27" x14ac:dyDescent="0.25">
      <c r="A37" s="345"/>
      <c r="B37" s="118"/>
      <c r="C37" s="119"/>
      <c r="E37" s="117"/>
      <c r="F37" s="33"/>
      <c r="G37" s="33"/>
      <c r="H37" s="44"/>
      <c r="I37" s="44"/>
      <c r="J37" s="44"/>
      <c r="K37" s="44"/>
      <c r="L37" s="44"/>
      <c r="M37" s="44"/>
      <c r="N37" s="44"/>
      <c r="O37" s="44"/>
      <c r="P37" s="111"/>
      <c r="Q37" s="111"/>
    </row>
    <row r="38" spans="1:27" x14ac:dyDescent="0.25">
      <c r="A38" s="345">
        <v>5</v>
      </c>
      <c r="B38" s="466" t="s">
        <v>1318</v>
      </c>
      <c r="C38" s="618"/>
      <c r="D38" s="619"/>
      <c r="E38" s="620"/>
      <c r="F38" s="621"/>
      <c r="G38" s="621"/>
      <c r="H38" s="622"/>
      <c r="I38" s="622"/>
      <c r="J38" s="622"/>
      <c r="K38" s="622"/>
      <c r="L38" s="622"/>
      <c r="M38" s="622"/>
      <c r="N38" s="622"/>
      <c r="O38" s="622"/>
      <c r="P38" s="628"/>
      <c r="Q38" s="628"/>
      <c r="R38" s="153"/>
      <c r="S38" s="153"/>
    </row>
    <row r="39" spans="1:27" x14ac:dyDescent="0.25">
      <c r="A39" s="345" t="s">
        <v>1226</v>
      </c>
      <c r="B39" s="498"/>
      <c r="C39" s="469" t="s">
        <v>1319</v>
      </c>
      <c r="D39" s="469"/>
      <c r="E39" s="315"/>
      <c r="F39" s="315"/>
      <c r="G39" s="315"/>
      <c r="H39" s="320">
        <v>0</v>
      </c>
      <c r="I39" s="320">
        <v>0</v>
      </c>
      <c r="J39" s="320">
        <v>0</v>
      </c>
      <c r="K39" s="320">
        <v>0</v>
      </c>
      <c r="L39" s="320">
        <v>0</v>
      </c>
      <c r="M39" s="320">
        <v>0</v>
      </c>
      <c r="N39" s="320">
        <v>0</v>
      </c>
      <c r="O39" s="320">
        <v>0</v>
      </c>
      <c r="P39" s="324">
        <f t="shared" ref="P39:Q42" si="7">SUM(H39+J39+L39+N39)</f>
        <v>0</v>
      </c>
      <c r="Q39" s="324">
        <f t="shared" si="7"/>
        <v>0</v>
      </c>
      <c r="R39" s="153"/>
      <c r="S39" s="153"/>
    </row>
    <row r="40" spans="1:27" x14ac:dyDescent="0.25">
      <c r="A40" s="345" t="s">
        <v>1227</v>
      </c>
      <c r="B40" s="498"/>
      <c r="C40" s="469" t="s">
        <v>1320</v>
      </c>
      <c r="D40" s="469"/>
      <c r="E40" s="315"/>
      <c r="F40" s="315"/>
      <c r="G40" s="315"/>
      <c r="H40" s="320">
        <v>0</v>
      </c>
      <c r="I40" s="320">
        <v>0</v>
      </c>
      <c r="J40" s="320">
        <v>0</v>
      </c>
      <c r="K40" s="320">
        <v>0</v>
      </c>
      <c r="L40" s="320">
        <v>0</v>
      </c>
      <c r="M40" s="320">
        <v>0</v>
      </c>
      <c r="N40" s="320">
        <v>0</v>
      </c>
      <c r="O40" s="320">
        <v>0</v>
      </c>
      <c r="P40" s="324">
        <f t="shared" si="7"/>
        <v>0</v>
      </c>
      <c r="Q40" s="324">
        <f t="shared" si="7"/>
        <v>0</v>
      </c>
      <c r="R40" s="153"/>
      <c r="S40" s="153"/>
    </row>
    <row r="41" spans="1:27" x14ac:dyDescent="0.25">
      <c r="A41" s="345" t="s">
        <v>1229</v>
      </c>
      <c r="B41" s="498"/>
      <c r="C41" s="469" t="s">
        <v>1321</v>
      </c>
      <c r="D41" s="469"/>
      <c r="E41" s="315"/>
      <c r="F41" s="315"/>
      <c r="G41" s="315"/>
      <c r="H41" s="320">
        <v>0</v>
      </c>
      <c r="I41" s="320">
        <v>0</v>
      </c>
      <c r="J41" s="320">
        <v>0</v>
      </c>
      <c r="K41" s="320">
        <v>0</v>
      </c>
      <c r="L41" s="320">
        <v>0</v>
      </c>
      <c r="M41" s="320">
        <v>0</v>
      </c>
      <c r="N41" s="320">
        <v>0</v>
      </c>
      <c r="O41" s="320">
        <v>0</v>
      </c>
      <c r="P41" s="324">
        <f t="shared" si="7"/>
        <v>0</v>
      </c>
      <c r="Q41" s="324">
        <f t="shared" si="7"/>
        <v>0</v>
      </c>
      <c r="R41" s="6" t="s">
        <v>1322</v>
      </c>
      <c r="S41" s="6"/>
    </row>
    <row r="42" spans="1:27" x14ac:dyDescent="0.25">
      <c r="A42" s="345" t="s">
        <v>1323</v>
      </c>
      <c r="B42" s="498"/>
      <c r="C42" s="469" t="s">
        <v>1318</v>
      </c>
      <c r="D42" s="469"/>
      <c r="E42" s="315"/>
      <c r="F42" s="315"/>
      <c r="G42" s="315"/>
      <c r="H42" s="320">
        <v>0</v>
      </c>
      <c r="I42" s="320">
        <v>0</v>
      </c>
      <c r="J42" s="320">
        <v>0</v>
      </c>
      <c r="K42" s="320">
        <v>0</v>
      </c>
      <c r="L42" s="320">
        <v>0</v>
      </c>
      <c r="M42" s="320">
        <v>0</v>
      </c>
      <c r="N42" s="320">
        <v>0</v>
      </c>
      <c r="O42" s="320">
        <v>0</v>
      </c>
      <c r="P42" s="324">
        <f t="shared" si="7"/>
        <v>0</v>
      </c>
      <c r="Q42" s="324">
        <f t="shared" si="7"/>
        <v>0</v>
      </c>
      <c r="R42" s="631"/>
      <c r="S42" s="632"/>
    </row>
    <row r="43" spans="1:27" x14ac:dyDescent="0.25">
      <c r="A43" s="345" t="s">
        <v>1324</v>
      </c>
      <c r="B43" s="335" t="s">
        <v>1325</v>
      </c>
      <c r="C43" s="626"/>
      <c r="D43" s="633"/>
      <c r="E43" s="634"/>
      <c r="F43" s="634"/>
      <c r="G43" s="634"/>
      <c r="H43" s="349">
        <f t="shared" ref="H43:Q43" si="8">SUM(H39:H42)</f>
        <v>0</v>
      </c>
      <c r="I43" s="349">
        <f t="shared" si="8"/>
        <v>0</v>
      </c>
      <c r="J43" s="349">
        <f t="shared" si="8"/>
        <v>0</v>
      </c>
      <c r="K43" s="349">
        <f t="shared" si="8"/>
        <v>0</v>
      </c>
      <c r="L43" s="349">
        <f t="shared" si="8"/>
        <v>0</v>
      </c>
      <c r="M43" s="349">
        <f t="shared" si="8"/>
        <v>0</v>
      </c>
      <c r="N43" s="349">
        <f t="shared" si="8"/>
        <v>0</v>
      </c>
      <c r="O43" s="349">
        <f t="shared" si="8"/>
        <v>0</v>
      </c>
      <c r="P43" s="349">
        <f t="shared" si="8"/>
        <v>0</v>
      </c>
      <c r="Q43" s="349">
        <f t="shared" si="8"/>
        <v>0</v>
      </c>
    </row>
    <row r="44" spans="1:27" x14ac:dyDescent="0.25">
      <c r="A44" s="345"/>
      <c r="B44" s="118"/>
      <c r="C44" s="119"/>
      <c r="E44" s="117"/>
      <c r="F44" s="33"/>
      <c r="G44" s="33"/>
      <c r="H44" s="44"/>
      <c r="I44" s="44"/>
      <c r="J44" s="44"/>
      <c r="K44" s="44"/>
      <c r="L44" s="44"/>
      <c r="M44" s="44"/>
      <c r="N44" s="44"/>
      <c r="O44" s="44"/>
      <c r="P44" s="111"/>
      <c r="Q44" s="111"/>
    </row>
    <row r="45" spans="1:27" x14ac:dyDescent="0.25">
      <c r="A45" s="345">
        <v>6</v>
      </c>
      <c r="B45" s="335" t="s">
        <v>1326</v>
      </c>
      <c r="C45" s="626"/>
      <c r="D45" s="627"/>
      <c r="E45" s="625"/>
      <c r="F45" s="625"/>
      <c r="G45" s="625"/>
      <c r="H45" s="349">
        <f t="shared" ref="H45:Q45" si="9">SUM(H23+H30+H36+H43)</f>
        <v>407</v>
      </c>
      <c r="I45" s="349">
        <f t="shared" si="9"/>
        <v>403</v>
      </c>
      <c r="J45" s="349">
        <f t="shared" si="9"/>
        <v>0</v>
      </c>
      <c r="K45" s="349">
        <f t="shared" si="9"/>
        <v>0</v>
      </c>
      <c r="L45" s="349">
        <f t="shared" si="9"/>
        <v>0</v>
      </c>
      <c r="M45" s="349">
        <f t="shared" si="9"/>
        <v>0</v>
      </c>
      <c r="N45" s="349">
        <f t="shared" si="9"/>
        <v>0</v>
      </c>
      <c r="O45" s="349">
        <f t="shared" si="9"/>
        <v>0</v>
      </c>
      <c r="P45" s="349">
        <f t="shared" si="9"/>
        <v>407</v>
      </c>
      <c r="Q45" s="349">
        <f t="shared" si="9"/>
        <v>403</v>
      </c>
    </row>
    <row r="46" spans="1:27" x14ac:dyDescent="0.25">
      <c r="A46" s="345"/>
      <c r="B46" s="348"/>
      <c r="C46" s="635"/>
      <c r="D46" s="636"/>
      <c r="E46" s="315"/>
      <c r="F46" s="315"/>
      <c r="G46" s="315"/>
      <c r="H46" s="637"/>
      <c r="I46" s="637"/>
      <c r="J46" s="637"/>
      <c r="K46" s="637"/>
      <c r="L46" s="637"/>
      <c r="M46" s="637"/>
      <c r="N46" s="637"/>
      <c r="O46" s="637"/>
      <c r="P46" s="637"/>
      <c r="Q46" s="638"/>
    </row>
    <row r="47" spans="1:27" x14ac:dyDescent="0.25">
      <c r="A47" s="345">
        <v>7</v>
      </c>
      <c r="B47" s="469" t="s">
        <v>1327</v>
      </c>
      <c r="C47" s="499"/>
      <c r="D47" s="469"/>
      <c r="E47" s="498"/>
      <c r="F47" s="499"/>
      <c r="G47" s="469"/>
      <c r="H47" s="320" t="s">
        <v>4</v>
      </c>
      <c r="I47" s="320" t="s">
        <v>4</v>
      </c>
      <c r="J47" s="320" t="s">
        <v>5</v>
      </c>
      <c r="K47" s="320" t="s">
        <v>5</v>
      </c>
      <c r="L47" s="320" t="s">
        <v>5</v>
      </c>
      <c r="M47" s="320" t="s">
        <v>5</v>
      </c>
      <c r="N47" s="320" t="s">
        <v>5</v>
      </c>
      <c r="O47" s="320" t="s">
        <v>5</v>
      </c>
      <c r="P47" s="744" t="s">
        <v>1289</v>
      </c>
      <c r="Q47" s="745"/>
      <c r="R47" s="154"/>
      <c r="S47" s="154"/>
      <c r="T47" s="639">
        <f t="shared" ref="T47:AA48" si="10">IF(H47="Yes",1,0)</f>
        <v>1</v>
      </c>
      <c r="U47" s="639">
        <f t="shared" si="10"/>
        <v>1</v>
      </c>
      <c r="V47" s="639">
        <f t="shared" si="10"/>
        <v>0</v>
      </c>
      <c r="W47" s="639">
        <f t="shared" si="10"/>
        <v>0</v>
      </c>
      <c r="X47" s="639">
        <f t="shared" si="10"/>
        <v>0</v>
      </c>
      <c r="Y47" s="639">
        <f t="shared" si="10"/>
        <v>0</v>
      </c>
      <c r="Z47" s="639">
        <f t="shared" si="10"/>
        <v>0</v>
      </c>
      <c r="AA47" s="639">
        <f t="shared" si="10"/>
        <v>0</v>
      </c>
    </row>
    <row r="48" spans="1:27" x14ac:dyDescent="0.25">
      <c r="A48" s="345">
        <v>8</v>
      </c>
      <c r="B48" s="469" t="s">
        <v>1328</v>
      </c>
      <c r="C48" s="499"/>
      <c r="D48" s="469"/>
      <c r="E48" s="498"/>
      <c r="F48" s="499"/>
      <c r="G48" s="469"/>
      <c r="H48" s="320" t="s">
        <v>5</v>
      </c>
      <c r="I48" s="320" t="s">
        <v>5</v>
      </c>
      <c r="J48" s="320" t="s">
        <v>5</v>
      </c>
      <c r="K48" s="320" t="s">
        <v>5</v>
      </c>
      <c r="L48" s="320" t="s">
        <v>5</v>
      </c>
      <c r="M48" s="320" t="s">
        <v>5</v>
      </c>
      <c r="N48" s="320" t="s">
        <v>5</v>
      </c>
      <c r="O48" s="320" t="s">
        <v>5</v>
      </c>
      <c r="P48" s="744" t="s">
        <v>1289</v>
      </c>
      <c r="Q48" s="745"/>
      <c r="T48" s="639">
        <f t="shared" si="10"/>
        <v>0</v>
      </c>
      <c r="U48" s="639">
        <f t="shared" si="10"/>
        <v>0</v>
      </c>
      <c r="V48" s="639">
        <f t="shared" si="10"/>
        <v>0</v>
      </c>
      <c r="W48" s="639">
        <f t="shared" si="10"/>
        <v>0</v>
      </c>
      <c r="X48" s="639">
        <f t="shared" si="10"/>
        <v>0</v>
      </c>
      <c r="Y48" s="639">
        <f t="shared" si="10"/>
        <v>0</v>
      </c>
      <c r="Z48" s="639">
        <f t="shared" si="10"/>
        <v>0</v>
      </c>
      <c r="AA48" s="639">
        <f t="shared" si="10"/>
        <v>0</v>
      </c>
    </row>
    <row r="49" spans="1:29" x14ac:dyDescent="0.25">
      <c r="A49" s="640"/>
      <c r="B49" s="348"/>
      <c r="C49" s="641"/>
      <c r="D49" s="636"/>
      <c r="E49" s="315"/>
      <c r="F49" s="315"/>
      <c r="G49" s="315"/>
      <c r="H49" s="637"/>
      <c r="I49" s="637"/>
      <c r="J49" s="637"/>
      <c r="K49" s="637"/>
      <c r="L49" s="637"/>
      <c r="M49" s="637"/>
      <c r="N49" s="637"/>
      <c r="O49" s="637"/>
      <c r="P49" s="637"/>
      <c r="Q49" s="638"/>
    </row>
    <row r="50" spans="1:29" ht="149.25" customHeight="1" x14ac:dyDescent="0.25">
      <c r="A50" s="642">
        <v>9</v>
      </c>
      <c r="B50" s="746" t="s">
        <v>1329</v>
      </c>
      <c r="C50" s="747"/>
      <c r="D50" s="643"/>
      <c r="E50" s="643"/>
      <c r="F50" s="643"/>
      <c r="G50" s="643"/>
      <c r="H50" s="748" t="s">
        <v>1330</v>
      </c>
      <c r="I50" s="749"/>
      <c r="J50" s="749"/>
      <c r="K50" s="749"/>
      <c r="L50" s="749"/>
      <c r="M50" s="749"/>
      <c r="N50" s="749"/>
      <c r="O50" s="749"/>
      <c r="P50" s="749"/>
      <c r="Q50" s="750"/>
      <c r="R50"/>
      <c r="S50"/>
      <c r="AC50" s="639">
        <f>IF(OR(H50="Text box", H50=""),0,1)</f>
        <v>0</v>
      </c>
    </row>
    <row r="51" spans="1:29" ht="14.25" customHeight="1" x14ac:dyDescent="0.25">
      <c r="A51" s="68"/>
      <c r="B51" s="69"/>
      <c r="C51" s="69"/>
      <c r="D51" s="139"/>
      <c r="E51" s="69"/>
      <c r="F51" s="69"/>
      <c r="G51" s="139"/>
      <c r="H51" s="70"/>
      <c r="I51" s="70"/>
      <c r="J51" s="70"/>
      <c r="K51" s="70"/>
      <c r="L51" s="70"/>
      <c r="M51" s="70"/>
      <c r="N51" s="70"/>
      <c r="O51" s="70"/>
      <c r="P51" s="70"/>
      <c r="Q51" s="70"/>
      <c r="R51"/>
      <c r="S51"/>
    </row>
    <row r="52" spans="1:29" x14ac:dyDescent="0.25">
      <c r="A52" s="307">
        <v>10</v>
      </c>
      <c r="B52" s="644" t="s">
        <v>1331</v>
      </c>
      <c r="C52" s="645"/>
      <c r="D52" s="646"/>
      <c r="E52" s="646"/>
      <c r="F52" s="646"/>
      <c r="G52" s="646"/>
      <c r="H52" s="622"/>
      <c r="I52" s="622"/>
      <c r="J52" s="622"/>
      <c r="K52" s="622"/>
      <c r="L52" s="622"/>
      <c r="M52" s="622"/>
      <c r="N52" s="622"/>
      <c r="O52" s="622"/>
    </row>
    <row r="53" spans="1:29" x14ac:dyDescent="0.25">
      <c r="A53" s="307"/>
      <c r="B53" s="740" t="s">
        <v>1332</v>
      </c>
      <c r="C53" s="741"/>
      <c r="D53" s="741"/>
      <c r="E53" s="741"/>
      <c r="F53" s="741"/>
      <c r="G53" s="741"/>
      <c r="H53" s="741"/>
      <c r="I53" s="742"/>
      <c r="J53" s="742"/>
      <c r="K53" s="742"/>
      <c r="L53" s="742"/>
      <c r="M53" s="742"/>
      <c r="N53" s="742"/>
      <c r="O53" s="743"/>
    </row>
    <row r="54" spans="1:29" x14ac:dyDescent="0.25">
      <c r="A54" s="307" t="s">
        <v>854</v>
      </c>
      <c r="B54" s="498"/>
      <c r="C54" s="34" t="s">
        <v>1333</v>
      </c>
      <c r="D54" s="34"/>
      <c r="E54" s="34"/>
      <c r="F54" s="34"/>
      <c r="G54" s="34"/>
      <c r="H54" s="647">
        <v>9.3000000000000007</v>
      </c>
      <c r="I54" s="647">
        <v>96</v>
      </c>
      <c r="J54" s="647">
        <v>0</v>
      </c>
      <c r="K54" s="647">
        <v>0</v>
      </c>
      <c r="L54" s="647">
        <v>0</v>
      </c>
      <c r="M54" s="647">
        <v>0</v>
      </c>
      <c r="N54" s="647">
        <v>0</v>
      </c>
      <c r="O54" s="647">
        <v>0</v>
      </c>
    </row>
    <row r="55" spans="1:29" x14ac:dyDescent="0.25">
      <c r="A55" s="307" t="s">
        <v>856</v>
      </c>
      <c r="B55" s="498"/>
      <c r="C55" s="34" t="s">
        <v>1334</v>
      </c>
      <c r="D55" s="34"/>
      <c r="E55" s="34"/>
      <c r="F55" s="34"/>
      <c r="G55" s="34"/>
      <c r="H55" s="647">
        <v>10.6</v>
      </c>
      <c r="I55" s="647">
        <v>11.3</v>
      </c>
      <c r="J55" s="647">
        <v>0</v>
      </c>
      <c r="K55" s="647">
        <v>0</v>
      </c>
      <c r="L55" s="647">
        <v>0</v>
      </c>
      <c r="M55" s="647">
        <v>0</v>
      </c>
      <c r="N55" s="647">
        <v>0</v>
      </c>
      <c r="O55" s="647">
        <v>0</v>
      </c>
    </row>
    <row r="56" spans="1:29" x14ac:dyDescent="0.25">
      <c r="A56" s="68"/>
      <c r="B56" s="69"/>
      <c r="C56" s="69"/>
      <c r="D56" s="70"/>
      <c r="E56" s="70"/>
      <c r="F56" s="70"/>
      <c r="G56" s="70"/>
      <c r="H56" s="70"/>
      <c r="I56" s="5"/>
      <c r="J56" s="5"/>
      <c r="K56" s="5"/>
      <c r="L56" s="5"/>
      <c r="M56" s="5"/>
      <c r="N56" s="5"/>
      <c r="O56" s="5"/>
      <c r="P56" s="5"/>
      <c r="Q56" s="5"/>
    </row>
  </sheetData>
  <sheetProtection algorithmName="SHA-512" hashValue="Ydv8jZa3Km+DT2gORyOUfY5Z1U+p5zyb5vQJ2usKBvKBVC/Btomq1xG4ozmUMYrSESfXVuXaIjufJF4hQUpBog==" saltValue="OXa0xCCb1JnitGqbmbT5IA==" spinCount="100000" sheet="1" objects="1"/>
  <mergeCells count="35">
    <mergeCell ref="B1:G1"/>
    <mergeCell ref="H1:L2"/>
    <mergeCell ref="A2:E2"/>
    <mergeCell ref="B3:C3"/>
    <mergeCell ref="H3:I3"/>
    <mergeCell ref="J3:K3"/>
    <mergeCell ref="L3:M3"/>
    <mergeCell ref="Z3:AA3"/>
    <mergeCell ref="B4:C4"/>
    <mergeCell ref="H6:I6"/>
    <mergeCell ref="J6:K6"/>
    <mergeCell ref="L6:M6"/>
    <mergeCell ref="N6:O6"/>
    <mergeCell ref="P6:Q6"/>
    <mergeCell ref="N3:O3"/>
    <mergeCell ref="P3:Q3"/>
    <mergeCell ref="T3:U3"/>
    <mergeCell ref="V3:W3"/>
    <mergeCell ref="X3:Y3"/>
    <mergeCell ref="H7:I7"/>
    <mergeCell ref="J7:K7"/>
    <mergeCell ref="L7:M7"/>
    <mergeCell ref="N7:O7"/>
    <mergeCell ref="P7:Q7"/>
    <mergeCell ref="H8:I8"/>
    <mergeCell ref="J8:K8"/>
    <mergeCell ref="L8:M8"/>
    <mergeCell ref="N8:O8"/>
    <mergeCell ref="P8:Q8"/>
    <mergeCell ref="B53:O53"/>
    <mergeCell ref="P11:Q11"/>
    <mergeCell ref="P47:Q47"/>
    <mergeCell ref="P48:Q48"/>
    <mergeCell ref="B50:C50"/>
    <mergeCell ref="H50:Q50"/>
  </mergeCells>
  <dataValidations count="4">
    <dataValidation type="whole" operator="greaterThan" allowBlank="1" showInputMessage="1" showErrorMessage="1" errorTitle="Whole numbers only allowed" error="All monies should be independently rounded to the nearest £1,000." sqref="H11:O12 H14:O15 H17:O22 H26:O29 H33:O35 H39:O42">
      <formula1>-99999999</formula1>
    </dataValidation>
    <dataValidation type="decimal" operator="greaterThan" allowBlank="1" showInputMessage="1" showErrorMessage="1" errorTitle="Numeric values only allowed" error="Numeric values only" sqref="H54:O55">
      <formula1>-99999999</formula1>
    </dataValidation>
    <dataValidation type="date" operator="greaterThan" allowBlank="1" showInputMessage="1" showErrorMessage="1" errorTitle="Valid date" error="Please enter a valid date." sqref="H7:O9">
      <formula1>6576</formula1>
    </dataValidation>
    <dataValidation type="textLength" allowBlank="1" showInputMessage="1" showErrorMessage="1" promptTitle="Maximum 250 characters" sqref="R29:S29 R35:S35 R42:S42">
      <formula1>0</formula1>
      <formula2>250</formula2>
    </dataValidation>
  </dataValidations>
  <printOptions headings="1" gridLines="1"/>
  <pageMargins left="0.11811023622047245" right="0.11811023622047245" top="0.74803149606299213" bottom="0.74803149606299213" header="0.31496062992125984" footer="0.31496062992125984"/>
  <pageSetup paperSize="8" orientation="landscape" r:id="rId1"/>
  <headerFooter>
    <oddHeader>&amp;L&amp;A</oddHeader>
    <oddFooter>&amp;L&amp;F</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'Hide_me(drop_downs)'!$A$2:$A$3</xm:f>
          </x14:formula1>
          <xm:sqref>H47:O48</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J170"/>
  <sheetViews>
    <sheetView zoomScale="90" zoomScaleNormal="90" workbookViewId="0">
      <pane ySplit="4" topLeftCell="A5" activePane="bottomLeft" state="frozenSplit"/>
      <selection pane="bottomLeft" activeCell="O11" sqref="O11"/>
    </sheetView>
  </sheetViews>
  <sheetFormatPr defaultColWidth="10.7109375" defaultRowHeight="15" x14ac:dyDescent="0.25"/>
  <cols>
    <col min="1" max="1" width="12.5703125" customWidth="1"/>
    <col min="2" max="2" width="4.140625" customWidth="1"/>
    <col min="3" max="3" width="11.140625" customWidth="1"/>
    <col min="4" max="4" width="64" customWidth="1"/>
    <col min="5" max="7" width="48.28515625" hidden="1" customWidth="1"/>
    <col min="8" max="8" width="28.140625" customWidth="1"/>
    <col min="9" max="9" width="29.42578125" bestFit="1" customWidth="1"/>
    <col min="10" max="10" width="28.85546875" hidden="1" customWidth="1"/>
  </cols>
  <sheetData>
    <row r="1" spans="1:10" ht="30" customHeight="1" x14ac:dyDescent="0.25">
      <c r="A1" s="288" t="s">
        <v>1335</v>
      </c>
      <c r="B1" s="289" t="s">
        <v>1336</v>
      </c>
      <c r="C1" s="289"/>
      <c r="D1" s="289"/>
      <c r="E1" s="289"/>
      <c r="F1" s="289"/>
      <c r="G1" s="289"/>
      <c r="H1" s="600"/>
      <c r="I1" s="291" t="s">
        <v>709</v>
      </c>
      <c r="J1" s="291" t="s">
        <v>709</v>
      </c>
    </row>
    <row r="2" spans="1:10" ht="35.25" customHeight="1" x14ac:dyDescent="0.25">
      <c r="A2" s="294"/>
      <c r="B2" s="372"/>
      <c r="C2" s="372"/>
      <c r="D2" s="372"/>
      <c r="E2" s="372"/>
      <c r="F2" s="372"/>
      <c r="G2" s="372"/>
      <c r="H2" s="603"/>
      <c r="I2" s="297" t="s">
        <v>710</v>
      </c>
      <c r="J2" s="297" t="s">
        <v>711</v>
      </c>
    </row>
    <row r="3" spans="1:10" ht="15.4" customHeight="1" x14ac:dyDescent="0.25">
      <c r="A3" s="298"/>
      <c r="B3" s="259"/>
      <c r="C3" s="259"/>
      <c r="D3" s="259"/>
      <c r="E3" s="259"/>
      <c r="F3" s="259"/>
      <c r="G3" s="259"/>
      <c r="H3" s="300" t="str">
        <f>'Hide_me(drop_downs)'!I1</f>
        <v>Year ended 31 July 2020</v>
      </c>
      <c r="I3" s="301" t="str">
        <f>'Hide_me(drop_downs)'!J1</f>
        <v>Year ended 31 July 2019</v>
      </c>
      <c r="J3" s="301" t="str">
        <f>'Hide_me(drop_downs)'!J1</f>
        <v>Year ended 31 July 2019</v>
      </c>
    </row>
    <row r="4" spans="1:10" ht="15.4" customHeight="1" x14ac:dyDescent="0.25">
      <c r="A4" s="303"/>
      <c r="B4" s="304"/>
      <c r="C4" s="304"/>
      <c r="D4" s="304"/>
      <c r="E4" s="304"/>
      <c r="F4" s="304"/>
      <c r="G4" s="304"/>
      <c r="H4" s="306" t="s">
        <v>717</v>
      </c>
      <c r="I4" s="306" t="s">
        <v>717</v>
      </c>
      <c r="J4" s="306" t="s">
        <v>717</v>
      </c>
    </row>
    <row r="5" spans="1:10" x14ac:dyDescent="0.25">
      <c r="A5" s="307">
        <v>1</v>
      </c>
      <c r="B5" s="730" t="s">
        <v>739</v>
      </c>
      <c r="C5" s="731"/>
      <c r="D5" s="731"/>
      <c r="E5" s="466"/>
      <c r="F5" s="466"/>
      <c r="G5" s="466"/>
      <c r="H5" s="648"/>
      <c r="I5" s="564"/>
      <c r="J5" s="564" t="s">
        <v>1202</v>
      </c>
    </row>
    <row r="6" spans="1:10" x14ac:dyDescent="0.25">
      <c r="A6" s="345" t="s">
        <v>723</v>
      </c>
      <c r="B6" s="348"/>
      <c r="C6" s="330" t="s">
        <v>1337</v>
      </c>
      <c r="D6" s="333"/>
      <c r="E6" s="315"/>
      <c r="F6" s="315"/>
      <c r="G6" s="315"/>
      <c r="H6" s="320">
        <v>234394</v>
      </c>
      <c r="I6" s="320">
        <v>221237</v>
      </c>
      <c r="J6" s="320">
        <v>0</v>
      </c>
    </row>
    <row r="7" spans="1:10" x14ac:dyDescent="0.25">
      <c r="A7" s="345" t="s">
        <v>725</v>
      </c>
      <c r="B7" s="348"/>
      <c r="C7" s="330" t="s">
        <v>1338</v>
      </c>
      <c r="D7" s="333"/>
      <c r="E7" s="315"/>
      <c r="F7" s="315"/>
      <c r="G7" s="315"/>
      <c r="H7" s="320">
        <v>199669</v>
      </c>
      <c r="I7" s="320">
        <v>188590</v>
      </c>
      <c r="J7" s="320">
        <v>0</v>
      </c>
    </row>
    <row r="8" spans="1:10" x14ac:dyDescent="0.25">
      <c r="A8" s="345" t="s">
        <v>727</v>
      </c>
      <c r="B8" s="336" t="s">
        <v>1339</v>
      </c>
      <c r="C8" s="336"/>
      <c r="D8" s="391"/>
      <c r="E8" s="625"/>
      <c r="F8" s="625"/>
      <c r="G8" s="625"/>
      <c r="H8" s="349">
        <f>SUM(H6:H7)</f>
        <v>434063</v>
      </c>
      <c r="I8" s="349">
        <f>SUM(I6:I7)</f>
        <v>409827</v>
      </c>
      <c r="J8" s="649">
        <f>SUM(J6:J7)</f>
        <v>0</v>
      </c>
    </row>
    <row r="9" spans="1:10" x14ac:dyDescent="0.25">
      <c r="A9" s="345" t="s">
        <v>729</v>
      </c>
      <c r="B9" s="348"/>
      <c r="C9" s="330" t="s">
        <v>1340</v>
      </c>
      <c r="D9" s="333"/>
      <c r="E9" s="315"/>
      <c r="F9" s="315"/>
      <c r="G9" s="315"/>
      <c r="H9" s="320">
        <v>45321</v>
      </c>
      <c r="I9" s="320">
        <v>43267</v>
      </c>
      <c r="J9" s="320">
        <v>43267</v>
      </c>
    </row>
    <row r="10" spans="1:10" x14ac:dyDescent="0.25">
      <c r="A10" s="345" t="s">
        <v>731</v>
      </c>
      <c r="B10" s="348"/>
      <c r="C10" s="330" t="s">
        <v>1341</v>
      </c>
      <c r="D10" s="333"/>
      <c r="E10" s="315"/>
      <c r="F10" s="315"/>
      <c r="G10" s="315"/>
      <c r="H10" s="320">
        <v>105337</v>
      </c>
      <c r="I10" s="320">
        <v>86519</v>
      </c>
      <c r="J10" s="320">
        <v>103777</v>
      </c>
    </row>
    <row r="11" spans="1:10" x14ac:dyDescent="0.25">
      <c r="A11" s="345" t="s">
        <v>733</v>
      </c>
      <c r="B11" s="348"/>
      <c r="C11" s="330" t="s">
        <v>1342</v>
      </c>
      <c r="D11" s="333"/>
      <c r="E11" s="315"/>
      <c r="F11" s="315"/>
      <c r="G11" s="315"/>
      <c r="H11" s="320">
        <v>565</v>
      </c>
      <c r="I11" s="320">
        <v>437</v>
      </c>
      <c r="J11" s="320">
        <v>0</v>
      </c>
    </row>
    <row r="12" spans="1:10" x14ac:dyDescent="0.25">
      <c r="A12" s="345" t="s">
        <v>735</v>
      </c>
      <c r="B12" s="348"/>
      <c r="C12" s="330" t="s">
        <v>1343</v>
      </c>
      <c r="D12" s="333"/>
      <c r="E12" s="315"/>
      <c r="F12" s="315"/>
      <c r="G12" s="315"/>
      <c r="H12" s="320">
        <v>460</v>
      </c>
      <c r="I12" s="320">
        <v>670</v>
      </c>
      <c r="J12" s="320">
        <v>0</v>
      </c>
    </row>
    <row r="13" spans="1:10" x14ac:dyDescent="0.25">
      <c r="A13" s="345" t="s">
        <v>799</v>
      </c>
      <c r="B13" s="348"/>
      <c r="C13" s="330" t="s">
        <v>1344</v>
      </c>
      <c r="D13" s="333"/>
      <c r="E13" s="315"/>
      <c r="F13" s="315"/>
      <c r="G13" s="315"/>
      <c r="H13" s="320">
        <v>20529</v>
      </c>
      <c r="I13" s="320">
        <v>16214</v>
      </c>
      <c r="J13" s="320">
        <v>0</v>
      </c>
    </row>
    <row r="14" spans="1:10" x14ac:dyDescent="0.25">
      <c r="A14" s="345" t="s">
        <v>306</v>
      </c>
      <c r="B14" s="348"/>
      <c r="C14" s="330" t="s">
        <v>1345</v>
      </c>
      <c r="D14" s="333"/>
      <c r="E14" s="315"/>
      <c r="F14" s="315"/>
      <c r="G14" s="315"/>
      <c r="H14" s="320">
        <v>0</v>
      </c>
      <c r="I14" s="320">
        <v>0</v>
      </c>
      <c r="J14" s="347">
        <v>0</v>
      </c>
    </row>
    <row r="15" spans="1:10" x14ac:dyDescent="0.25">
      <c r="A15" s="345" t="s">
        <v>308</v>
      </c>
      <c r="B15" s="348"/>
      <c r="C15" s="330" t="s">
        <v>1346</v>
      </c>
      <c r="D15" s="333"/>
      <c r="E15" s="315"/>
      <c r="F15" s="315"/>
      <c r="G15" s="315"/>
      <c r="H15" s="320">
        <v>0</v>
      </c>
      <c r="I15" s="320">
        <v>0</v>
      </c>
      <c r="J15" s="347">
        <v>0</v>
      </c>
    </row>
    <row r="16" spans="1:10" x14ac:dyDescent="0.25">
      <c r="A16" s="345" t="s">
        <v>803</v>
      </c>
      <c r="B16" s="348"/>
      <c r="C16" s="330" t="s">
        <v>1347</v>
      </c>
      <c r="D16" s="333"/>
      <c r="E16" s="315"/>
      <c r="F16" s="315"/>
      <c r="G16" s="315"/>
      <c r="H16" s="320">
        <v>6622</v>
      </c>
      <c r="I16" s="320">
        <v>3987</v>
      </c>
      <c r="J16" s="320">
        <v>4050</v>
      </c>
    </row>
    <row r="17" spans="1:10" x14ac:dyDescent="0.25">
      <c r="A17" s="345" t="s">
        <v>994</v>
      </c>
      <c r="B17" s="335" t="s">
        <v>1348</v>
      </c>
      <c r="C17" s="391"/>
      <c r="D17" s="391"/>
      <c r="E17" s="625"/>
      <c r="F17" s="625"/>
      <c r="G17" s="625"/>
      <c r="H17" s="349">
        <f>SUM(H8:H16)</f>
        <v>612897</v>
      </c>
      <c r="I17" s="349">
        <f>SUM(I8:I16)</f>
        <v>560921</v>
      </c>
      <c r="J17" s="350">
        <f>SUM(J8:J16)</f>
        <v>151094</v>
      </c>
    </row>
    <row r="18" spans="1:10" x14ac:dyDescent="0.25">
      <c r="A18" s="345"/>
      <c r="B18" s="650"/>
      <c r="C18" s="650"/>
      <c r="D18" s="650"/>
      <c r="E18" s="651"/>
      <c r="F18" s="651"/>
      <c r="G18" s="651"/>
      <c r="H18" s="652"/>
      <c r="I18" s="641"/>
      <c r="J18" s="641"/>
    </row>
    <row r="19" spans="1:10" x14ac:dyDescent="0.25">
      <c r="A19" s="345" t="s">
        <v>996</v>
      </c>
      <c r="B19" s="335" t="s">
        <v>1349</v>
      </c>
      <c r="C19" s="391"/>
      <c r="D19" s="391"/>
      <c r="E19" s="625"/>
      <c r="F19" s="625"/>
      <c r="G19" s="625"/>
      <c r="H19" s="349">
        <f>SUM(H17-H14-H15)</f>
        <v>612897</v>
      </c>
      <c r="I19" s="349">
        <f>SUM(I17-I14-I15)</f>
        <v>560921</v>
      </c>
      <c r="J19" s="439">
        <f>SUM(J17-J14-J15)</f>
        <v>151094</v>
      </c>
    </row>
    <row r="20" spans="1:10" x14ac:dyDescent="0.25">
      <c r="A20" s="345"/>
      <c r="B20" s="650"/>
      <c r="C20" s="650"/>
      <c r="D20" s="650"/>
      <c r="E20" s="651"/>
      <c r="F20" s="651"/>
      <c r="G20" s="651"/>
      <c r="H20" s="652"/>
      <c r="I20" s="641"/>
      <c r="J20" s="641"/>
    </row>
    <row r="21" spans="1:10" x14ac:dyDescent="0.25">
      <c r="A21" s="345">
        <v>2</v>
      </c>
      <c r="B21" s="730" t="s">
        <v>1350</v>
      </c>
      <c r="C21" s="731"/>
      <c r="D21" s="731"/>
      <c r="E21" s="466"/>
      <c r="F21" s="466"/>
      <c r="G21" s="466"/>
      <c r="H21" s="648" t="s">
        <v>1202</v>
      </c>
      <c r="I21" s="564" t="s">
        <v>1202</v>
      </c>
      <c r="J21" s="564" t="s">
        <v>1202</v>
      </c>
    </row>
    <row r="22" spans="1:10" x14ac:dyDescent="0.25">
      <c r="A22" s="345" t="s">
        <v>738</v>
      </c>
      <c r="B22" s="348"/>
      <c r="C22" s="185" t="s">
        <v>1351</v>
      </c>
      <c r="D22" s="333"/>
      <c r="E22" s="315"/>
      <c r="F22" s="315"/>
      <c r="G22" s="315"/>
      <c r="H22" s="565">
        <v>4874</v>
      </c>
      <c r="I22" s="565">
        <v>4667</v>
      </c>
      <c r="J22" s="653">
        <v>0</v>
      </c>
    </row>
    <row r="23" spans="1:10" x14ac:dyDescent="0.25">
      <c r="A23" s="345" t="s">
        <v>740</v>
      </c>
      <c r="B23" s="348"/>
      <c r="C23" s="185" t="s">
        <v>1352</v>
      </c>
      <c r="D23" s="333"/>
      <c r="E23" s="315"/>
      <c r="F23" s="315"/>
      <c r="G23" s="315"/>
      <c r="H23" s="565">
        <v>6572</v>
      </c>
      <c r="I23" s="565">
        <v>6306</v>
      </c>
      <c r="J23" s="653">
        <v>0</v>
      </c>
    </row>
    <row r="24" spans="1:10" x14ac:dyDescent="0.25">
      <c r="A24" s="345" t="s">
        <v>742</v>
      </c>
      <c r="B24" s="335" t="s">
        <v>1353</v>
      </c>
      <c r="C24" s="391"/>
      <c r="D24" s="625"/>
      <c r="E24" s="625"/>
      <c r="F24" s="625"/>
      <c r="G24" s="625"/>
      <c r="H24" s="654">
        <f>SUM(H22:H23)</f>
        <v>11446</v>
      </c>
      <c r="I24" s="654">
        <f>SUM(I22:I23)</f>
        <v>10973</v>
      </c>
      <c r="J24" s="655">
        <f>SUM(J22:J23)</f>
        <v>0</v>
      </c>
    </row>
    <row r="25" spans="1:10" x14ac:dyDescent="0.25">
      <c r="A25" s="307"/>
      <c r="B25" s="656"/>
      <c r="C25" s="657"/>
      <c r="D25" s="42"/>
      <c r="I25" s="73"/>
      <c r="J25" s="73"/>
    </row>
    <row r="26" spans="1:10" ht="25.5" customHeight="1" x14ac:dyDescent="0.25">
      <c r="A26" s="307">
        <v>3</v>
      </c>
      <c r="B26" s="762" t="s">
        <v>1354</v>
      </c>
      <c r="C26" s="763"/>
      <c r="D26" s="763"/>
      <c r="E26" s="621"/>
      <c r="F26" s="621"/>
      <c r="G26" s="621"/>
      <c r="H26" s="658" t="s">
        <v>1355</v>
      </c>
      <c r="I26" s="658" t="s">
        <v>1355</v>
      </c>
      <c r="J26" s="658" t="s">
        <v>1355</v>
      </c>
    </row>
    <row r="27" spans="1:10" ht="15.4" customHeight="1" x14ac:dyDescent="0.25">
      <c r="A27" s="307" t="s">
        <v>816</v>
      </c>
      <c r="B27" s="322" t="s">
        <v>1356</v>
      </c>
      <c r="C27" s="361"/>
      <c r="D27" s="625"/>
      <c r="E27" s="625"/>
      <c r="F27" s="625"/>
      <c r="G27" s="625"/>
      <c r="H27" s="579">
        <f>SUM(H30:H170)</f>
        <v>0</v>
      </c>
      <c r="I27" s="579">
        <f>SUM(I30:I170)</f>
        <v>0</v>
      </c>
      <c r="J27" s="579">
        <f>SUM(J30:J170)</f>
        <v>0</v>
      </c>
    </row>
    <row r="28" spans="1:10" x14ac:dyDescent="0.25">
      <c r="A28" s="307"/>
      <c r="B28" s="659"/>
      <c r="C28" s="660"/>
      <c r="D28" s="140"/>
      <c r="E28" s="141"/>
      <c r="F28" s="141"/>
      <c r="G28" s="141"/>
      <c r="H28" s="141"/>
      <c r="I28" s="80"/>
      <c r="J28" s="80"/>
    </row>
    <row r="29" spans="1:10" x14ac:dyDescent="0.25">
      <c r="A29" s="307"/>
      <c r="B29" s="661"/>
      <c r="C29" s="70" t="s">
        <v>1357</v>
      </c>
      <c r="D29" s="662"/>
      <c r="E29" s="662"/>
      <c r="F29" s="662"/>
      <c r="G29" s="662"/>
      <c r="H29" s="355"/>
      <c r="I29" s="355"/>
      <c r="J29" s="355"/>
    </row>
    <row r="30" spans="1:10" x14ac:dyDescent="0.25">
      <c r="A30" s="307"/>
      <c r="B30" s="663"/>
      <c r="C30" s="664"/>
      <c r="D30" s="70" t="s">
        <v>1358</v>
      </c>
      <c r="E30" s="70"/>
      <c r="F30" s="70"/>
      <c r="G30" s="70"/>
      <c r="H30" s="81">
        <v>0</v>
      </c>
      <c r="I30" s="81">
        <v>0</v>
      </c>
      <c r="J30" s="81">
        <v>0</v>
      </c>
    </row>
    <row r="31" spans="1:10" x14ac:dyDescent="0.25">
      <c r="A31" s="307"/>
      <c r="B31" s="663"/>
      <c r="C31" s="664"/>
      <c r="D31" s="34" t="s">
        <v>1359</v>
      </c>
      <c r="E31" s="34"/>
      <c r="F31" s="34"/>
      <c r="G31" s="34"/>
      <c r="H31" s="81">
        <v>0</v>
      </c>
      <c r="I31" s="81">
        <v>0</v>
      </c>
      <c r="J31" s="81">
        <v>0</v>
      </c>
    </row>
    <row r="32" spans="1:10" x14ac:dyDescent="0.25">
      <c r="A32" s="307"/>
      <c r="B32" s="663"/>
      <c r="C32" s="664"/>
      <c r="D32" s="34" t="s">
        <v>1360</v>
      </c>
      <c r="E32" s="34"/>
      <c r="F32" s="34"/>
      <c r="G32" s="34"/>
      <c r="H32" s="81">
        <v>0</v>
      </c>
      <c r="I32" s="81">
        <v>0</v>
      </c>
      <c r="J32" s="81">
        <v>0</v>
      </c>
    </row>
    <row r="33" spans="1:10" x14ac:dyDescent="0.25">
      <c r="A33" s="307"/>
      <c r="B33" s="663"/>
      <c r="C33" s="664"/>
      <c r="D33" s="34" t="s">
        <v>1361</v>
      </c>
      <c r="E33" s="34"/>
      <c r="F33" s="34"/>
      <c r="G33" s="34"/>
      <c r="H33" s="81">
        <v>0</v>
      </c>
      <c r="I33" s="81">
        <v>0</v>
      </c>
      <c r="J33" s="81">
        <v>0</v>
      </c>
    </row>
    <row r="34" spans="1:10" x14ac:dyDescent="0.25">
      <c r="A34" s="307"/>
      <c r="B34" s="663"/>
      <c r="C34" s="664"/>
      <c r="D34" s="34" t="s">
        <v>1362</v>
      </c>
      <c r="E34" s="34"/>
      <c r="F34" s="34"/>
      <c r="G34" s="34"/>
      <c r="H34" s="81">
        <v>0</v>
      </c>
      <c r="I34" s="81">
        <v>0</v>
      </c>
      <c r="J34" s="81">
        <v>0</v>
      </c>
    </row>
    <row r="35" spans="1:10" x14ac:dyDescent="0.25">
      <c r="A35" s="307"/>
      <c r="B35" s="663"/>
      <c r="C35" s="664"/>
      <c r="D35" s="34" t="s">
        <v>1363</v>
      </c>
      <c r="E35" s="34"/>
      <c r="F35" s="34"/>
      <c r="G35" s="34"/>
      <c r="H35" s="81">
        <v>0</v>
      </c>
      <c r="I35" s="81">
        <v>0</v>
      </c>
      <c r="J35" s="81">
        <v>0</v>
      </c>
    </row>
    <row r="36" spans="1:10" x14ac:dyDescent="0.25">
      <c r="A36" s="307"/>
      <c r="B36" s="663"/>
      <c r="C36" s="664"/>
      <c r="D36" s="34" t="s">
        <v>1364</v>
      </c>
      <c r="E36" s="34"/>
      <c r="F36" s="34"/>
      <c r="G36" s="34"/>
      <c r="H36" s="81">
        <v>0</v>
      </c>
      <c r="I36" s="81">
        <v>0</v>
      </c>
      <c r="J36" s="81">
        <v>0</v>
      </c>
    </row>
    <row r="37" spans="1:10" x14ac:dyDescent="0.25">
      <c r="A37" s="307"/>
      <c r="B37" s="663"/>
      <c r="C37" s="664"/>
      <c r="D37" s="34" t="s">
        <v>1365</v>
      </c>
      <c r="E37" s="34"/>
      <c r="F37" s="34"/>
      <c r="G37" s="34"/>
      <c r="H37" s="81">
        <v>0</v>
      </c>
      <c r="I37" s="81">
        <v>0</v>
      </c>
      <c r="J37" s="81">
        <v>0</v>
      </c>
    </row>
    <row r="38" spans="1:10" x14ac:dyDescent="0.25">
      <c r="A38" s="307"/>
      <c r="B38" s="663"/>
      <c r="C38" s="664"/>
      <c r="D38" s="82" t="s">
        <v>1366</v>
      </c>
      <c r="E38" s="82"/>
      <c r="F38" s="82"/>
      <c r="G38" s="82"/>
      <c r="H38" s="81">
        <v>0</v>
      </c>
      <c r="I38" s="81">
        <v>0</v>
      </c>
      <c r="J38" s="81">
        <v>0</v>
      </c>
    </row>
    <row r="39" spans="1:10" x14ac:dyDescent="0.25">
      <c r="A39" s="307"/>
      <c r="B39" s="663"/>
      <c r="C39" s="664"/>
      <c r="D39" s="39" t="s">
        <v>1367</v>
      </c>
      <c r="E39" s="39"/>
      <c r="F39" s="39"/>
      <c r="G39" s="39"/>
      <c r="H39" s="81">
        <v>0</v>
      </c>
      <c r="I39" s="81">
        <v>0</v>
      </c>
      <c r="J39" s="81">
        <v>0</v>
      </c>
    </row>
    <row r="40" spans="1:10" x14ac:dyDescent="0.25">
      <c r="A40" s="307"/>
      <c r="B40" s="663"/>
      <c r="C40" s="664"/>
      <c r="D40" s="39" t="s">
        <v>1368</v>
      </c>
      <c r="E40" s="39"/>
      <c r="F40" s="39"/>
      <c r="G40" s="39"/>
      <c r="H40" s="81">
        <v>0</v>
      </c>
      <c r="I40" s="81">
        <v>0</v>
      </c>
      <c r="J40" s="81">
        <v>0</v>
      </c>
    </row>
    <row r="41" spans="1:10" x14ac:dyDescent="0.25">
      <c r="A41" s="307"/>
      <c r="B41" s="663"/>
      <c r="C41" s="664"/>
      <c r="D41" s="39" t="s">
        <v>1369</v>
      </c>
      <c r="E41" s="39"/>
      <c r="F41" s="39"/>
      <c r="G41" s="39"/>
      <c r="H41" s="81">
        <v>0</v>
      </c>
      <c r="I41" s="81">
        <v>0</v>
      </c>
      <c r="J41" s="81">
        <v>0</v>
      </c>
    </row>
    <row r="42" spans="1:10" x14ac:dyDescent="0.25">
      <c r="A42" s="307"/>
      <c r="B42" s="663"/>
      <c r="C42" s="664"/>
      <c r="D42" s="39" t="s">
        <v>1370</v>
      </c>
      <c r="E42" s="39"/>
      <c r="F42" s="39"/>
      <c r="G42" s="39"/>
      <c r="H42" s="81">
        <v>0</v>
      </c>
      <c r="I42" s="81">
        <v>0</v>
      </c>
      <c r="J42" s="81">
        <v>0</v>
      </c>
    </row>
    <row r="43" spans="1:10" x14ac:dyDescent="0.25">
      <c r="A43" s="307"/>
      <c r="B43" s="663"/>
      <c r="C43" s="664"/>
      <c r="D43" s="39" t="s">
        <v>1371</v>
      </c>
      <c r="E43" s="39"/>
      <c r="F43" s="39"/>
      <c r="G43" s="39"/>
      <c r="H43" s="81">
        <v>0</v>
      </c>
      <c r="I43" s="81">
        <v>0</v>
      </c>
      <c r="J43" s="81">
        <v>0</v>
      </c>
    </row>
    <row r="44" spans="1:10" x14ac:dyDescent="0.25">
      <c r="A44" s="307"/>
      <c r="B44" s="663"/>
      <c r="C44" s="664"/>
      <c r="D44" s="39" t="s">
        <v>1372</v>
      </c>
      <c r="E44" s="39"/>
      <c r="F44" s="39"/>
      <c r="G44" s="39"/>
      <c r="H44" s="81">
        <v>0</v>
      </c>
      <c r="I44" s="81">
        <v>0</v>
      </c>
      <c r="J44" s="81">
        <v>0</v>
      </c>
    </row>
    <row r="45" spans="1:10" x14ac:dyDescent="0.25">
      <c r="A45" s="307"/>
      <c r="B45" s="663"/>
      <c r="C45" s="664"/>
      <c r="D45" s="39" t="s">
        <v>1373</v>
      </c>
      <c r="E45" s="39"/>
      <c r="F45" s="39"/>
      <c r="G45" s="39"/>
      <c r="H45" s="81">
        <v>0</v>
      </c>
      <c r="I45" s="81">
        <v>0</v>
      </c>
      <c r="J45" s="81">
        <v>0</v>
      </c>
    </row>
    <row r="46" spans="1:10" x14ac:dyDescent="0.25">
      <c r="A46" s="307"/>
      <c r="B46" s="663"/>
      <c r="C46" s="664"/>
      <c r="D46" s="39" t="s">
        <v>1374</v>
      </c>
      <c r="E46" s="39"/>
      <c r="F46" s="39"/>
      <c r="G46" s="39"/>
      <c r="H46" s="81">
        <v>0</v>
      </c>
      <c r="I46" s="81">
        <v>0</v>
      </c>
      <c r="J46" s="81">
        <v>0</v>
      </c>
    </row>
    <row r="47" spans="1:10" x14ac:dyDescent="0.25">
      <c r="A47" s="307"/>
      <c r="B47" s="663"/>
      <c r="C47" s="664"/>
      <c r="D47" s="39" t="s">
        <v>1375</v>
      </c>
      <c r="E47" s="39"/>
      <c r="F47" s="39"/>
      <c r="G47" s="39"/>
      <c r="H47" s="81">
        <v>0</v>
      </c>
      <c r="I47" s="81">
        <v>0</v>
      </c>
      <c r="J47" s="81">
        <v>0</v>
      </c>
    </row>
    <row r="48" spans="1:10" x14ac:dyDescent="0.25">
      <c r="A48" s="307"/>
      <c r="B48" s="663"/>
      <c r="C48" s="664"/>
      <c r="D48" s="39" t="s">
        <v>1376</v>
      </c>
      <c r="E48" s="39"/>
      <c r="F48" s="39"/>
      <c r="G48" s="39"/>
      <c r="H48" s="81">
        <v>0</v>
      </c>
      <c r="I48" s="81">
        <v>0</v>
      </c>
      <c r="J48" s="81">
        <v>0</v>
      </c>
    </row>
    <row r="49" spans="1:10" x14ac:dyDescent="0.25">
      <c r="A49" s="307"/>
      <c r="B49" s="663"/>
      <c r="C49" s="664"/>
      <c r="D49" s="39" t="s">
        <v>1377</v>
      </c>
      <c r="E49" s="39"/>
      <c r="F49" s="39"/>
      <c r="G49" s="39"/>
      <c r="H49" s="81">
        <v>0</v>
      </c>
      <c r="I49" s="81">
        <v>0</v>
      </c>
      <c r="J49" s="81">
        <v>0</v>
      </c>
    </row>
    <row r="50" spans="1:10" x14ac:dyDescent="0.25">
      <c r="A50" s="307"/>
      <c r="B50" s="663"/>
      <c r="C50" s="664"/>
      <c r="D50" s="39" t="s">
        <v>1378</v>
      </c>
      <c r="E50" s="39"/>
      <c r="F50" s="39"/>
      <c r="G50" s="39"/>
      <c r="H50" s="81">
        <v>0</v>
      </c>
      <c r="I50" s="81">
        <v>0</v>
      </c>
      <c r="J50" s="81">
        <v>0</v>
      </c>
    </row>
    <row r="51" spans="1:10" x14ac:dyDescent="0.25">
      <c r="A51" s="307"/>
      <c r="B51" s="663"/>
      <c r="C51" s="664"/>
      <c r="D51" s="39" t="s">
        <v>1379</v>
      </c>
      <c r="E51" s="39"/>
      <c r="F51" s="39"/>
      <c r="G51" s="39"/>
      <c r="H51" s="81">
        <v>0</v>
      </c>
      <c r="I51" s="81">
        <v>0</v>
      </c>
      <c r="J51" s="81">
        <v>0</v>
      </c>
    </row>
    <row r="52" spans="1:10" x14ac:dyDescent="0.25">
      <c r="A52" s="307"/>
      <c r="B52" s="663"/>
      <c r="C52" s="664"/>
      <c r="D52" s="39" t="s">
        <v>1380</v>
      </c>
      <c r="E52" s="39"/>
      <c r="F52" s="39"/>
      <c r="G52" s="39"/>
      <c r="H52" s="81">
        <v>0</v>
      </c>
      <c r="I52" s="81">
        <v>0</v>
      </c>
      <c r="J52" s="81">
        <v>0</v>
      </c>
    </row>
    <row r="53" spans="1:10" x14ac:dyDescent="0.25">
      <c r="A53" s="307"/>
      <c r="B53" s="663"/>
      <c r="C53" s="664"/>
      <c r="D53" s="39" t="s">
        <v>1381</v>
      </c>
      <c r="E53" s="39"/>
      <c r="F53" s="39"/>
      <c r="G53" s="39"/>
      <c r="H53" s="81">
        <v>0</v>
      </c>
      <c r="I53" s="81">
        <v>0</v>
      </c>
      <c r="J53" s="81">
        <v>0</v>
      </c>
    </row>
    <row r="54" spans="1:10" x14ac:dyDescent="0.25">
      <c r="A54" s="307"/>
      <c r="B54" s="663"/>
      <c r="C54" s="664"/>
      <c r="D54" s="39" t="s">
        <v>1382</v>
      </c>
      <c r="E54" s="39"/>
      <c r="F54" s="39"/>
      <c r="G54" s="39"/>
      <c r="H54" s="81">
        <v>0</v>
      </c>
      <c r="I54" s="81">
        <v>0</v>
      </c>
      <c r="J54" s="81">
        <v>0</v>
      </c>
    </row>
    <row r="55" spans="1:10" x14ac:dyDescent="0.25">
      <c r="A55" s="307"/>
      <c r="B55" s="663"/>
      <c r="C55" s="664"/>
      <c r="D55" s="39" t="s">
        <v>1383</v>
      </c>
      <c r="E55" s="39"/>
      <c r="F55" s="39"/>
      <c r="G55" s="39"/>
      <c r="H55" s="81">
        <v>0</v>
      </c>
      <c r="I55" s="81">
        <v>0</v>
      </c>
      <c r="J55" s="81">
        <v>0</v>
      </c>
    </row>
    <row r="56" spans="1:10" x14ac:dyDescent="0.25">
      <c r="A56" s="307"/>
      <c r="B56" s="663"/>
      <c r="C56" s="664"/>
      <c r="D56" s="39" t="s">
        <v>1384</v>
      </c>
      <c r="E56" s="39"/>
      <c r="F56" s="39"/>
      <c r="G56" s="39"/>
      <c r="H56" s="81">
        <v>0</v>
      </c>
      <c r="I56" s="81">
        <v>0</v>
      </c>
      <c r="J56" s="81">
        <v>0</v>
      </c>
    </row>
    <row r="57" spans="1:10" x14ac:dyDescent="0.25">
      <c r="A57" s="307"/>
      <c r="B57" s="663"/>
      <c r="C57" s="664"/>
      <c r="D57" s="39" t="s">
        <v>1385</v>
      </c>
      <c r="E57" s="39"/>
      <c r="F57" s="39"/>
      <c r="G57" s="39"/>
      <c r="H57" s="81">
        <v>0</v>
      </c>
      <c r="I57" s="81">
        <v>0</v>
      </c>
      <c r="J57" s="81">
        <v>0</v>
      </c>
    </row>
    <row r="58" spans="1:10" x14ac:dyDescent="0.25">
      <c r="A58" s="307"/>
      <c r="B58" s="663"/>
      <c r="C58" s="664"/>
      <c r="D58" s="39" t="s">
        <v>1386</v>
      </c>
      <c r="E58" s="39"/>
      <c r="F58" s="39"/>
      <c r="G58" s="39"/>
      <c r="H58" s="81">
        <v>0</v>
      </c>
      <c r="I58" s="81">
        <v>0</v>
      </c>
      <c r="J58" s="81">
        <v>0</v>
      </c>
    </row>
    <row r="59" spans="1:10" x14ac:dyDescent="0.25">
      <c r="A59" s="307"/>
      <c r="B59" s="663"/>
      <c r="C59" s="664"/>
      <c r="D59" s="39" t="s">
        <v>1387</v>
      </c>
      <c r="E59" s="39"/>
      <c r="F59" s="39"/>
      <c r="G59" s="39"/>
      <c r="H59" s="81">
        <v>0</v>
      </c>
      <c r="I59" s="81">
        <v>0</v>
      </c>
      <c r="J59" s="81">
        <v>0</v>
      </c>
    </row>
    <row r="60" spans="1:10" x14ac:dyDescent="0.25">
      <c r="A60" s="307"/>
      <c r="B60" s="663"/>
      <c r="C60" s="664"/>
      <c r="D60" s="39" t="s">
        <v>1388</v>
      </c>
      <c r="E60" s="39"/>
      <c r="F60" s="39"/>
      <c r="G60" s="39"/>
      <c r="H60" s="81">
        <v>0</v>
      </c>
      <c r="I60" s="81">
        <v>0</v>
      </c>
      <c r="J60" s="81">
        <v>0</v>
      </c>
    </row>
    <row r="61" spans="1:10" x14ac:dyDescent="0.25">
      <c r="A61" s="307"/>
      <c r="B61" s="663"/>
      <c r="C61" s="664"/>
      <c r="D61" s="39" t="s">
        <v>1389</v>
      </c>
      <c r="E61" s="39"/>
      <c r="F61" s="39"/>
      <c r="G61" s="39"/>
      <c r="H61" s="81">
        <v>0</v>
      </c>
      <c r="I61" s="81">
        <v>0</v>
      </c>
      <c r="J61" s="81">
        <v>0</v>
      </c>
    </row>
    <row r="62" spans="1:10" x14ac:dyDescent="0.25">
      <c r="A62" s="307"/>
      <c r="B62" s="663"/>
      <c r="C62" s="664"/>
      <c r="D62" s="39" t="s">
        <v>1390</v>
      </c>
      <c r="E62" s="39"/>
      <c r="F62" s="39"/>
      <c r="G62" s="39"/>
      <c r="H62" s="81">
        <v>0</v>
      </c>
      <c r="I62" s="81">
        <v>0</v>
      </c>
      <c r="J62" s="81">
        <v>0</v>
      </c>
    </row>
    <row r="63" spans="1:10" x14ac:dyDescent="0.25">
      <c r="A63" s="307"/>
      <c r="B63" s="663"/>
      <c r="C63" s="664"/>
      <c r="D63" s="39" t="s">
        <v>1391</v>
      </c>
      <c r="E63" s="39"/>
      <c r="F63" s="39"/>
      <c r="G63" s="39"/>
      <c r="H63" s="81">
        <v>0</v>
      </c>
      <c r="I63" s="81">
        <v>0</v>
      </c>
      <c r="J63" s="81">
        <v>0</v>
      </c>
    </row>
    <row r="64" spans="1:10" x14ac:dyDescent="0.25">
      <c r="A64" s="307"/>
      <c r="B64" s="663"/>
      <c r="C64" s="664"/>
      <c r="D64" s="39" t="s">
        <v>1392</v>
      </c>
      <c r="E64" s="39"/>
      <c r="F64" s="39"/>
      <c r="G64" s="39"/>
      <c r="H64" s="81">
        <v>0</v>
      </c>
      <c r="I64" s="81">
        <v>0</v>
      </c>
      <c r="J64" s="81">
        <v>0</v>
      </c>
    </row>
    <row r="65" spans="1:10" x14ac:dyDescent="0.25">
      <c r="A65" s="307"/>
      <c r="B65" s="663"/>
      <c r="C65" s="664"/>
      <c r="D65" s="39" t="s">
        <v>1393</v>
      </c>
      <c r="E65" s="39"/>
      <c r="F65" s="39"/>
      <c r="G65" s="39"/>
      <c r="H65" s="81">
        <v>0</v>
      </c>
      <c r="I65" s="81">
        <v>0</v>
      </c>
      <c r="J65" s="81">
        <v>0</v>
      </c>
    </row>
    <row r="66" spans="1:10" x14ac:dyDescent="0.25">
      <c r="A66" s="307"/>
      <c r="B66" s="663"/>
      <c r="C66" s="664"/>
      <c r="D66" s="39" t="s">
        <v>1394</v>
      </c>
      <c r="E66" s="39"/>
      <c r="F66" s="39"/>
      <c r="G66" s="39"/>
      <c r="H66" s="81">
        <v>0</v>
      </c>
      <c r="I66" s="81">
        <v>0</v>
      </c>
      <c r="J66" s="81">
        <v>0</v>
      </c>
    </row>
    <row r="67" spans="1:10" x14ac:dyDescent="0.25">
      <c r="A67" s="307"/>
      <c r="B67" s="663"/>
      <c r="C67" s="664"/>
      <c r="D67" s="39" t="s">
        <v>1395</v>
      </c>
      <c r="E67" s="39"/>
      <c r="F67" s="39"/>
      <c r="G67" s="39"/>
      <c r="H67" s="81">
        <v>0</v>
      </c>
      <c r="I67" s="81">
        <v>0</v>
      </c>
      <c r="J67" s="81">
        <v>0</v>
      </c>
    </row>
    <row r="68" spans="1:10" x14ac:dyDescent="0.25">
      <c r="A68" s="307"/>
      <c r="B68" s="663"/>
      <c r="C68" s="664"/>
      <c r="D68" s="39" t="s">
        <v>1396</v>
      </c>
      <c r="E68" s="39"/>
      <c r="F68" s="39"/>
      <c r="G68" s="39"/>
      <c r="H68" s="81">
        <v>0</v>
      </c>
      <c r="I68" s="81">
        <v>0</v>
      </c>
      <c r="J68" s="81">
        <v>0</v>
      </c>
    </row>
    <row r="69" spans="1:10" x14ac:dyDescent="0.25">
      <c r="A69" s="307"/>
      <c r="B69" s="663"/>
      <c r="C69" s="664"/>
      <c r="D69" s="39" t="s">
        <v>1397</v>
      </c>
      <c r="E69" s="39"/>
      <c r="F69" s="39"/>
      <c r="G69" s="39"/>
      <c r="H69" s="81">
        <v>0</v>
      </c>
      <c r="I69" s="81">
        <v>0</v>
      </c>
      <c r="J69" s="81">
        <v>0</v>
      </c>
    </row>
    <row r="70" spans="1:10" x14ac:dyDescent="0.25">
      <c r="A70" s="307"/>
      <c r="B70" s="663"/>
      <c r="C70" s="664"/>
      <c r="D70" s="39" t="s">
        <v>1398</v>
      </c>
      <c r="E70" s="39"/>
      <c r="F70" s="39"/>
      <c r="G70" s="39"/>
      <c r="H70" s="81">
        <v>0</v>
      </c>
      <c r="I70" s="81">
        <v>0</v>
      </c>
      <c r="J70" s="81">
        <v>0</v>
      </c>
    </row>
    <row r="71" spans="1:10" x14ac:dyDescent="0.25">
      <c r="A71" s="307"/>
      <c r="B71" s="663"/>
      <c r="C71" s="664"/>
      <c r="D71" s="39" t="s">
        <v>1399</v>
      </c>
      <c r="E71" s="39"/>
      <c r="F71" s="39"/>
      <c r="G71" s="39"/>
      <c r="H71" s="81">
        <v>0</v>
      </c>
      <c r="I71" s="81">
        <v>0</v>
      </c>
      <c r="J71" s="81">
        <v>0</v>
      </c>
    </row>
    <row r="72" spans="1:10" x14ac:dyDescent="0.25">
      <c r="A72" s="307"/>
      <c r="B72" s="663"/>
      <c r="C72" s="664"/>
      <c r="D72" s="39" t="s">
        <v>1400</v>
      </c>
      <c r="E72" s="39"/>
      <c r="F72" s="39"/>
      <c r="G72" s="39"/>
      <c r="H72" s="81">
        <v>0</v>
      </c>
      <c r="I72" s="81">
        <v>0</v>
      </c>
      <c r="J72" s="81">
        <v>0</v>
      </c>
    </row>
    <row r="73" spans="1:10" x14ac:dyDescent="0.25">
      <c r="A73" s="307"/>
      <c r="B73" s="663"/>
      <c r="C73" s="664"/>
      <c r="D73" s="39" t="s">
        <v>1401</v>
      </c>
      <c r="E73" s="39"/>
      <c r="F73" s="39"/>
      <c r="G73" s="39"/>
      <c r="H73" s="81">
        <v>0</v>
      </c>
      <c r="I73" s="81">
        <v>0</v>
      </c>
      <c r="J73" s="81">
        <v>0</v>
      </c>
    </row>
    <row r="74" spans="1:10" x14ac:dyDescent="0.25">
      <c r="A74" s="307"/>
      <c r="B74" s="663"/>
      <c r="C74" s="664"/>
      <c r="D74" s="39" t="s">
        <v>1402</v>
      </c>
      <c r="E74" s="39"/>
      <c r="F74" s="39"/>
      <c r="G74" s="39"/>
      <c r="H74" s="81">
        <v>0</v>
      </c>
      <c r="I74" s="81">
        <v>0</v>
      </c>
      <c r="J74" s="81">
        <v>0</v>
      </c>
    </row>
    <row r="75" spans="1:10" x14ac:dyDescent="0.25">
      <c r="A75" s="307"/>
      <c r="B75" s="663"/>
      <c r="C75" s="664"/>
      <c r="D75" s="39" t="s">
        <v>1403</v>
      </c>
      <c r="E75" s="39"/>
      <c r="F75" s="39"/>
      <c r="G75" s="39"/>
      <c r="H75" s="81">
        <v>0</v>
      </c>
      <c r="I75" s="81">
        <v>0</v>
      </c>
      <c r="J75" s="81">
        <v>0</v>
      </c>
    </row>
    <row r="76" spans="1:10" x14ac:dyDescent="0.25">
      <c r="A76" s="307"/>
      <c r="B76" s="663"/>
      <c r="C76" s="664"/>
      <c r="D76" s="39" t="s">
        <v>1404</v>
      </c>
      <c r="E76" s="39"/>
      <c r="F76" s="39"/>
      <c r="G76" s="39"/>
      <c r="H76" s="81">
        <v>0</v>
      </c>
      <c r="I76" s="81">
        <v>0</v>
      </c>
      <c r="J76" s="81">
        <v>0</v>
      </c>
    </row>
    <row r="77" spans="1:10" x14ac:dyDescent="0.25">
      <c r="A77" s="307"/>
      <c r="B77" s="663"/>
      <c r="C77" s="664"/>
      <c r="D77" s="39" t="s">
        <v>1405</v>
      </c>
      <c r="E77" s="39"/>
      <c r="F77" s="39"/>
      <c r="G77" s="39"/>
      <c r="H77" s="81">
        <v>0</v>
      </c>
      <c r="I77" s="81">
        <v>0</v>
      </c>
      <c r="J77" s="81">
        <v>0</v>
      </c>
    </row>
    <row r="78" spans="1:10" x14ac:dyDescent="0.25">
      <c r="A78" s="307"/>
      <c r="B78" s="663"/>
      <c r="C78" s="664"/>
      <c r="D78" s="39" t="s">
        <v>1406</v>
      </c>
      <c r="E78" s="39"/>
      <c r="F78" s="39"/>
      <c r="G78" s="39"/>
      <c r="H78" s="81">
        <v>0</v>
      </c>
      <c r="I78" s="81">
        <v>0</v>
      </c>
      <c r="J78" s="81">
        <v>0</v>
      </c>
    </row>
    <row r="79" spans="1:10" x14ac:dyDescent="0.25">
      <c r="A79" s="307"/>
      <c r="B79" s="663"/>
      <c r="C79" s="664"/>
      <c r="D79" s="39" t="s">
        <v>1407</v>
      </c>
      <c r="E79" s="39"/>
      <c r="F79" s="39"/>
      <c r="G79" s="39"/>
      <c r="H79" s="81">
        <v>0</v>
      </c>
      <c r="I79" s="81">
        <v>0</v>
      </c>
      <c r="J79" s="81">
        <v>0</v>
      </c>
    </row>
    <row r="80" spans="1:10" x14ac:dyDescent="0.25">
      <c r="A80" s="307"/>
      <c r="B80" s="663"/>
      <c r="C80" s="664"/>
      <c r="D80" s="39" t="s">
        <v>1408</v>
      </c>
      <c r="E80" s="39"/>
      <c r="F80" s="39"/>
      <c r="G80" s="39"/>
      <c r="H80" s="81">
        <v>0</v>
      </c>
      <c r="I80" s="81">
        <v>0</v>
      </c>
      <c r="J80" s="81">
        <v>0</v>
      </c>
    </row>
    <row r="81" spans="1:10" x14ac:dyDescent="0.25">
      <c r="A81" s="307"/>
      <c r="B81" s="663"/>
      <c r="C81" s="664"/>
      <c r="D81" s="39" t="s">
        <v>1409</v>
      </c>
      <c r="E81" s="39"/>
      <c r="F81" s="39"/>
      <c r="G81" s="39"/>
      <c r="H81" s="81">
        <v>0</v>
      </c>
      <c r="I81" s="81">
        <v>0</v>
      </c>
      <c r="J81" s="81">
        <v>0</v>
      </c>
    </row>
    <row r="82" spans="1:10" x14ac:dyDescent="0.25">
      <c r="A82" s="307"/>
      <c r="B82" s="663"/>
      <c r="C82" s="664"/>
      <c r="D82" s="39" t="s">
        <v>1410</v>
      </c>
      <c r="E82" s="39"/>
      <c r="F82" s="39"/>
      <c r="G82" s="39"/>
      <c r="H82" s="81">
        <v>0</v>
      </c>
      <c r="I82" s="81">
        <v>0</v>
      </c>
      <c r="J82" s="81">
        <v>0</v>
      </c>
    </row>
    <row r="83" spans="1:10" x14ac:dyDescent="0.25">
      <c r="A83" s="307"/>
      <c r="B83" s="663"/>
      <c r="C83" s="664"/>
      <c r="D83" s="39" t="s">
        <v>1411</v>
      </c>
      <c r="E83" s="39"/>
      <c r="F83" s="39"/>
      <c r="G83" s="39"/>
      <c r="H83" s="81">
        <v>0</v>
      </c>
      <c r="I83" s="81">
        <v>0</v>
      </c>
      <c r="J83" s="81">
        <v>0</v>
      </c>
    </row>
    <row r="84" spans="1:10" x14ac:dyDescent="0.25">
      <c r="A84" s="307"/>
      <c r="B84" s="663"/>
      <c r="C84" s="664"/>
      <c r="D84" s="39" t="s">
        <v>1412</v>
      </c>
      <c r="E84" s="39"/>
      <c r="F84" s="39"/>
      <c r="G84" s="39"/>
      <c r="H84" s="81">
        <v>0</v>
      </c>
      <c r="I84" s="81">
        <v>0</v>
      </c>
      <c r="J84" s="81">
        <v>0</v>
      </c>
    </row>
    <row r="85" spans="1:10" x14ac:dyDescent="0.25">
      <c r="A85" s="307"/>
      <c r="B85" s="663"/>
      <c r="C85" s="664"/>
      <c r="D85" s="39" t="s">
        <v>1413</v>
      </c>
      <c r="E85" s="39"/>
      <c r="F85" s="39"/>
      <c r="G85" s="39"/>
      <c r="H85" s="81">
        <v>0</v>
      </c>
      <c r="I85" s="81">
        <v>0</v>
      </c>
      <c r="J85" s="81">
        <v>0</v>
      </c>
    </row>
    <row r="86" spans="1:10" x14ac:dyDescent="0.25">
      <c r="A86" s="307"/>
      <c r="B86" s="663"/>
      <c r="C86" s="664"/>
      <c r="D86" s="39" t="s">
        <v>1414</v>
      </c>
      <c r="E86" s="39"/>
      <c r="F86" s="39"/>
      <c r="G86" s="39"/>
      <c r="H86" s="81">
        <v>0</v>
      </c>
      <c r="I86" s="81">
        <v>0</v>
      </c>
      <c r="J86" s="81">
        <v>0</v>
      </c>
    </row>
    <row r="87" spans="1:10" x14ac:dyDescent="0.25">
      <c r="A87" s="307"/>
      <c r="B87" s="663"/>
      <c r="C87" s="664"/>
      <c r="D87" s="39" t="s">
        <v>1415</v>
      </c>
      <c r="E87" s="39"/>
      <c r="F87" s="39"/>
      <c r="G87" s="39"/>
      <c r="H87" s="81">
        <v>0</v>
      </c>
      <c r="I87" s="81">
        <v>0</v>
      </c>
      <c r="J87" s="81">
        <v>0</v>
      </c>
    </row>
    <row r="88" spans="1:10" x14ac:dyDescent="0.25">
      <c r="A88" s="307"/>
      <c r="B88" s="663"/>
      <c r="C88" s="664"/>
      <c r="D88" s="39" t="s">
        <v>1416</v>
      </c>
      <c r="E88" s="39"/>
      <c r="F88" s="39"/>
      <c r="G88" s="39"/>
      <c r="H88" s="81">
        <v>0</v>
      </c>
      <c r="I88" s="81">
        <v>0</v>
      </c>
      <c r="J88" s="81">
        <v>0</v>
      </c>
    </row>
    <row r="89" spans="1:10" x14ac:dyDescent="0.25">
      <c r="A89" s="307"/>
      <c r="B89" s="663"/>
      <c r="C89" s="664"/>
      <c r="D89" s="39" t="s">
        <v>1417</v>
      </c>
      <c r="E89" s="39"/>
      <c r="F89" s="39"/>
      <c r="G89" s="39"/>
      <c r="H89" s="81">
        <v>0</v>
      </c>
      <c r="I89" s="81">
        <v>0</v>
      </c>
      <c r="J89" s="81">
        <v>0</v>
      </c>
    </row>
    <row r="90" spans="1:10" x14ac:dyDescent="0.25">
      <c r="A90" s="307"/>
      <c r="B90" s="663"/>
      <c r="C90" s="664"/>
      <c r="D90" s="39" t="s">
        <v>1418</v>
      </c>
      <c r="E90" s="39"/>
      <c r="F90" s="39"/>
      <c r="G90" s="39"/>
      <c r="H90" s="81">
        <v>0</v>
      </c>
      <c r="I90" s="81">
        <v>0</v>
      </c>
      <c r="J90" s="81">
        <v>0</v>
      </c>
    </row>
    <row r="91" spans="1:10" x14ac:dyDescent="0.25">
      <c r="A91" s="307"/>
      <c r="B91" s="663"/>
      <c r="C91" s="664"/>
      <c r="D91" s="39" t="s">
        <v>1419</v>
      </c>
      <c r="E91" s="39"/>
      <c r="F91" s="39"/>
      <c r="G91" s="39"/>
      <c r="H91" s="81">
        <v>0</v>
      </c>
      <c r="I91" s="81">
        <v>0</v>
      </c>
      <c r="J91" s="81">
        <v>0</v>
      </c>
    </row>
    <row r="92" spans="1:10" x14ac:dyDescent="0.25">
      <c r="A92" s="307"/>
      <c r="B92" s="663"/>
      <c r="C92" s="664"/>
      <c r="D92" s="39" t="s">
        <v>1420</v>
      </c>
      <c r="E92" s="39"/>
      <c r="F92" s="39"/>
      <c r="G92" s="39"/>
      <c r="H92" s="81">
        <v>0</v>
      </c>
      <c r="I92" s="81">
        <v>0</v>
      </c>
      <c r="J92" s="81">
        <v>0</v>
      </c>
    </row>
    <row r="93" spans="1:10" x14ac:dyDescent="0.25">
      <c r="A93" s="307"/>
      <c r="B93" s="663"/>
      <c r="C93" s="664"/>
      <c r="D93" s="39" t="s">
        <v>1421</v>
      </c>
      <c r="E93" s="39"/>
      <c r="F93" s="39"/>
      <c r="G93" s="39"/>
      <c r="H93" s="81">
        <v>0</v>
      </c>
      <c r="I93" s="81">
        <v>0</v>
      </c>
      <c r="J93" s="81">
        <v>0</v>
      </c>
    </row>
    <row r="94" spans="1:10" x14ac:dyDescent="0.25">
      <c r="A94" s="307"/>
      <c r="B94" s="663"/>
      <c r="C94" s="664"/>
      <c r="D94" s="39" t="s">
        <v>1422</v>
      </c>
      <c r="E94" s="39"/>
      <c r="F94" s="39"/>
      <c r="G94" s="39"/>
      <c r="H94" s="81">
        <v>0</v>
      </c>
      <c r="I94" s="81">
        <v>0</v>
      </c>
      <c r="J94" s="81">
        <v>0</v>
      </c>
    </row>
    <row r="95" spans="1:10" x14ac:dyDescent="0.25">
      <c r="A95" s="307"/>
      <c r="B95" s="663"/>
      <c r="C95" s="664"/>
      <c r="D95" s="39" t="s">
        <v>1423</v>
      </c>
      <c r="E95" s="39"/>
      <c r="F95" s="39"/>
      <c r="G95" s="39"/>
      <c r="H95" s="81">
        <v>0</v>
      </c>
      <c r="I95" s="81">
        <v>0</v>
      </c>
      <c r="J95" s="81">
        <v>0</v>
      </c>
    </row>
    <row r="96" spans="1:10" x14ac:dyDescent="0.25">
      <c r="A96" s="307"/>
      <c r="B96" s="663"/>
      <c r="C96" s="664"/>
      <c r="D96" s="39" t="s">
        <v>1424</v>
      </c>
      <c r="E96" s="39"/>
      <c r="F96" s="39"/>
      <c r="G96" s="39"/>
      <c r="H96" s="81">
        <v>0</v>
      </c>
      <c r="I96" s="81">
        <v>0</v>
      </c>
      <c r="J96" s="81">
        <v>0</v>
      </c>
    </row>
    <row r="97" spans="1:10" x14ac:dyDescent="0.25">
      <c r="A97" s="307"/>
      <c r="B97" s="663"/>
      <c r="C97" s="664"/>
      <c r="D97" s="39" t="s">
        <v>1425</v>
      </c>
      <c r="E97" s="39"/>
      <c r="F97" s="39"/>
      <c r="G97" s="39"/>
      <c r="H97" s="81">
        <v>0</v>
      </c>
      <c r="I97" s="81">
        <v>0</v>
      </c>
      <c r="J97" s="81">
        <v>0</v>
      </c>
    </row>
    <row r="98" spans="1:10" x14ac:dyDescent="0.25">
      <c r="A98" s="307"/>
      <c r="B98" s="663"/>
      <c r="C98" s="664"/>
      <c r="D98" s="39" t="s">
        <v>1426</v>
      </c>
      <c r="E98" s="39"/>
      <c r="F98" s="39"/>
      <c r="G98" s="39"/>
      <c r="H98" s="81">
        <v>0</v>
      </c>
      <c r="I98" s="81">
        <v>0</v>
      </c>
      <c r="J98" s="81">
        <v>0</v>
      </c>
    </row>
    <row r="99" spans="1:10" x14ac:dyDescent="0.25">
      <c r="A99" s="307"/>
      <c r="B99" s="663"/>
      <c r="C99" s="664"/>
      <c r="D99" s="39" t="s">
        <v>1427</v>
      </c>
      <c r="E99" s="39"/>
      <c r="F99" s="39"/>
      <c r="G99" s="39"/>
      <c r="H99" s="81">
        <v>0</v>
      </c>
      <c r="I99" s="81">
        <v>0</v>
      </c>
      <c r="J99" s="81">
        <v>0</v>
      </c>
    </row>
    <row r="100" spans="1:10" x14ac:dyDescent="0.25">
      <c r="A100" s="307"/>
      <c r="B100" s="663"/>
      <c r="C100" s="664"/>
      <c r="D100" s="39" t="s">
        <v>1428</v>
      </c>
      <c r="E100" s="39"/>
      <c r="F100" s="39"/>
      <c r="G100" s="39"/>
      <c r="H100" s="81">
        <v>0</v>
      </c>
      <c r="I100" s="81">
        <v>0</v>
      </c>
      <c r="J100" s="81">
        <v>0</v>
      </c>
    </row>
    <row r="101" spans="1:10" x14ac:dyDescent="0.25">
      <c r="A101" s="307"/>
      <c r="B101" s="663"/>
      <c r="C101" s="664"/>
      <c r="D101" s="39" t="s">
        <v>1429</v>
      </c>
      <c r="E101" s="39"/>
      <c r="F101" s="39"/>
      <c r="G101" s="39"/>
      <c r="H101" s="81">
        <v>0</v>
      </c>
      <c r="I101" s="81">
        <v>0</v>
      </c>
      <c r="J101" s="81">
        <v>0</v>
      </c>
    </row>
    <row r="102" spans="1:10" x14ac:dyDescent="0.25">
      <c r="A102" s="307"/>
      <c r="B102" s="663"/>
      <c r="C102" s="664"/>
      <c r="D102" s="39" t="s">
        <v>1430</v>
      </c>
      <c r="E102" s="39"/>
      <c r="F102" s="39"/>
      <c r="G102" s="39"/>
      <c r="H102" s="81">
        <v>0</v>
      </c>
      <c r="I102" s="81">
        <v>0</v>
      </c>
      <c r="J102" s="81">
        <v>0</v>
      </c>
    </row>
    <row r="103" spans="1:10" x14ac:dyDescent="0.25">
      <c r="A103" s="307"/>
      <c r="B103" s="663"/>
      <c r="C103" s="664"/>
      <c r="D103" s="39" t="s">
        <v>1431</v>
      </c>
      <c r="E103" s="39"/>
      <c r="F103" s="39"/>
      <c r="G103" s="39"/>
      <c r="H103" s="81">
        <v>0</v>
      </c>
      <c r="I103" s="81">
        <v>0</v>
      </c>
      <c r="J103" s="81">
        <v>0</v>
      </c>
    </row>
    <row r="104" spans="1:10" x14ac:dyDescent="0.25">
      <c r="A104" s="307"/>
      <c r="B104" s="663"/>
      <c r="C104" s="664"/>
      <c r="D104" s="39" t="s">
        <v>1432</v>
      </c>
      <c r="E104" s="39"/>
      <c r="F104" s="39"/>
      <c r="G104" s="39"/>
      <c r="H104" s="81">
        <v>0</v>
      </c>
      <c r="I104" s="81">
        <v>0</v>
      </c>
      <c r="J104" s="81">
        <v>0</v>
      </c>
    </row>
    <row r="105" spans="1:10" x14ac:dyDescent="0.25">
      <c r="A105" s="307"/>
      <c r="B105" s="663"/>
      <c r="C105" s="664"/>
      <c r="D105" s="39" t="s">
        <v>1433</v>
      </c>
      <c r="E105" s="39"/>
      <c r="F105" s="39"/>
      <c r="G105" s="39"/>
      <c r="H105" s="81">
        <v>0</v>
      </c>
      <c r="I105" s="81">
        <v>0</v>
      </c>
      <c r="J105" s="81">
        <v>0</v>
      </c>
    </row>
    <row r="106" spans="1:10" x14ac:dyDescent="0.25">
      <c r="A106" s="307"/>
      <c r="B106" s="663"/>
      <c r="C106" s="664"/>
      <c r="D106" s="39" t="s">
        <v>1434</v>
      </c>
      <c r="E106" s="39"/>
      <c r="F106" s="39"/>
      <c r="G106" s="39"/>
      <c r="H106" s="81">
        <v>0</v>
      </c>
      <c r="I106" s="81">
        <v>0</v>
      </c>
      <c r="J106" s="81">
        <v>0</v>
      </c>
    </row>
    <row r="107" spans="1:10" x14ac:dyDescent="0.25">
      <c r="A107" s="307"/>
      <c r="B107" s="663"/>
      <c r="C107" s="664"/>
      <c r="D107" s="39" t="s">
        <v>1435</v>
      </c>
      <c r="E107" s="39"/>
      <c r="F107" s="39"/>
      <c r="G107" s="39"/>
      <c r="H107" s="81">
        <v>0</v>
      </c>
      <c r="I107" s="81">
        <v>0</v>
      </c>
      <c r="J107" s="81">
        <v>0</v>
      </c>
    </row>
    <row r="108" spans="1:10" x14ac:dyDescent="0.25">
      <c r="A108" s="307"/>
      <c r="B108" s="663"/>
      <c r="C108" s="664"/>
      <c r="D108" s="39" t="s">
        <v>1436</v>
      </c>
      <c r="E108" s="39"/>
      <c r="F108" s="39"/>
      <c r="G108" s="39"/>
      <c r="H108" s="81">
        <v>0</v>
      </c>
      <c r="I108" s="81">
        <v>0</v>
      </c>
      <c r="J108" s="81">
        <v>0</v>
      </c>
    </row>
    <row r="109" spans="1:10" x14ac:dyDescent="0.25">
      <c r="A109" s="307"/>
      <c r="B109" s="663"/>
      <c r="C109" s="664"/>
      <c r="D109" s="39" t="s">
        <v>1437</v>
      </c>
      <c r="E109" s="39"/>
      <c r="F109" s="39"/>
      <c r="G109" s="39"/>
      <c r="H109" s="81">
        <v>0</v>
      </c>
      <c r="I109" s="81">
        <v>0</v>
      </c>
      <c r="J109" s="81">
        <v>0</v>
      </c>
    </row>
    <row r="110" spans="1:10" x14ac:dyDescent="0.25">
      <c r="A110" s="307"/>
      <c r="B110" s="663"/>
      <c r="C110" s="664"/>
      <c r="D110" s="39" t="s">
        <v>1438</v>
      </c>
      <c r="E110" s="39"/>
      <c r="F110" s="39"/>
      <c r="G110" s="39"/>
      <c r="H110" s="81">
        <v>0</v>
      </c>
      <c r="I110" s="81">
        <v>0</v>
      </c>
      <c r="J110" s="81">
        <v>0</v>
      </c>
    </row>
    <row r="111" spans="1:10" x14ac:dyDescent="0.25">
      <c r="A111" s="307"/>
      <c r="B111" s="663"/>
      <c r="C111" s="664"/>
      <c r="D111" s="39" t="s">
        <v>1439</v>
      </c>
      <c r="E111" s="39"/>
      <c r="F111" s="39"/>
      <c r="G111" s="39"/>
      <c r="H111" s="81">
        <v>0</v>
      </c>
      <c r="I111" s="81">
        <v>0</v>
      </c>
      <c r="J111" s="81">
        <v>0</v>
      </c>
    </row>
    <row r="112" spans="1:10" x14ac:dyDescent="0.25">
      <c r="A112" s="307"/>
      <c r="B112" s="663"/>
      <c r="C112" s="664"/>
      <c r="D112" s="39" t="s">
        <v>1440</v>
      </c>
      <c r="E112" s="39"/>
      <c r="F112" s="39"/>
      <c r="G112" s="39"/>
      <c r="H112" s="81">
        <v>0</v>
      </c>
      <c r="I112" s="81">
        <v>0</v>
      </c>
      <c r="J112" s="81">
        <v>0</v>
      </c>
    </row>
    <row r="113" spans="1:10" x14ac:dyDescent="0.25">
      <c r="A113" s="307"/>
      <c r="B113" s="663"/>
      <c r="C113" s="664"/>
      <c r="D113" s="39" t="s">
        <v>1441</v>
      </c>
      <c r="E113" s="39"/>
      <c r="F113" s="39"/>
      <c r="G113" s="39"/>
      <c r="H113" s="81">
        <v>0</v>
      </c>
      <c r="I113" s="81">
        <v>0</v>
      </c>
      <c r="J113" s="81">
        <v>0</v>
      </c>
    </row>
    <row r="114" spans="1:10" x14ac:dyDescent="0.25">
      <c r="A114" s="307"/>
      <c r="B114" s="663"/>
      <c r="C114" s="664"/>
      <c r="D114" s="39" t="s">
        <v>1442</v>
      </c>
      <c r="E114" s="39"/>
      <c r="F114" s="39"/>
      <c r="G114" s="39"/>
      <c r="H114" s="81">
        <v>0</v>
      </c>
      <c r="I114" s="81">
        <v>0</v>
      </c>
      <c r="J114" s="81">
        <v>0</v>
      </c>
    </row>
    <row r="115" spans="1:10" x14ac:dyDescent="0.25">
      <c r="A115" s="307"/>
      <c r="B115" s="663"/>
      <c r="C115" s="664"/>
      <c r="D115" s="39" t="s">
        <v>1443</v>
      </c>
      <c r="E115" s="39"/>
      <c r="F115" s="39"/>
      <c r="G115" s="39"/>
      <c r="H115" s="81">
        <v>0</v>
      </c>
      <c r="I115" s="81">
        <v>0</v>
      </c>
      <c r="J115" s="81">
        <v>0</v>
      </c>
    </row>
    <row r="116" spans="1:10" x14ac:dyDescent="0.25">
      <c r="A116" s="307"/>
      <c r="B116" s="663"/>
      <c r="C116" s="664"/>
      <c r="D116" s="39" t="s">
        <v>1444</v>
      </c>
      <c r="E116" s="39"/>
      <c r="F116" s="39"/>
      <c r="G116" s="39"/>
      <c r="H116" s="81">
        <v>0</v>
      </c>
      <c r="I116" s="81">
        <v>0</v>
      </c>
      <c r="J116" s="81">
        <v>0</v>
      </c>
    </row>
    <row r="117" spans="1:10" x14ac:dyDescent="0.25">
      <c r="A117" s="307"/>
      <c r="B117" s="663"/>
      <c r="C117" s="664"/>
      <c r="D117" s="39" t="s">
        <v>1445</v>
      </c>
      <c r="E117" s="39"/>
      <c r="F117" s="39"/>
      <c r="G117" s="39"/>
      <c r="H117" s="81">
        <v>0</v>
      </c>
      <c r="I117" s="81">
        <v>0</v>
      </c>
      <c r="J117" s="81">
        <v>0</v>
      </c>
    </row>
    <row r="118" spans="1:10" x14ac:dyDescent="0.25">
      <c r="A118" s="307"/>
      <c r="B118" s="663"/>
      <c r="C118" s="664"/>
      <c r="D118" s="39" t="s">
        <v>1446</v>
      </c>
      <c r="E118" s="39"/>
      <c r="F118" s="39"/>
      <c r="G118" s="39"/>
      <c r="H118" s="81">
        <v>0</v>
      </c>
      <c r="I118" s="81">
        <v>0</v>
      </c>
      <c r="J118" s="81">
        <v>0</v>
      </c>
    </row>
    <row r="119" spans="1:10" x14ac:dyDescent="0.25">
      <c r="A119" s="307"/>
      <c r="B119" s="663"/>
      <c r="C119" s="664"/>
      <c r="D119" s="39" t="s">
        <v>1447</v>
      </c>
      <c r="E119" s="39"/>
      <c r="F119" s="39"/>
      <c r="G119" s="39"/>
      <c r="H119" s="81">
        <v>0</v>
      </c>
      <c r="I119" s="81">
        <v>0</v>
      </c>
      <c r="J119" s="81">
        <v>0</v>
      </c>
    </row>
    <row r="120" spans="1:10" x14ac:dyDescent="0.25">
      <c r="A120" s="307"/>
      <c r="B120" s="663"/>
      <c r="C120" s="664"/>
      <c r="D120" s="39" t="s">
        <v>1448</v>
      </c>
      <c r="E120" s="39"/>
      <c r="F120" s="39"/>
      <c r="G120" s="39"/>
      <c r="H120" s="81">
        <v>0</v>
      </c>
      <c r="I120" s="81">
        <v>0</v>
      </c>
      <c r="J120" s="81">
        <v>0</v>
      </c>
    </row>
    <row r="121" spans="1:10" x14ac:dyDescent="0.25">
      <c r="A121" s="307"/>
      <c r="B121" s="663"/>
      <c r="C121" s="664"/>
      <c r="D121" s="39" t="s">
        <v>1449</v>
      </c>
      <c r="E121" s="39"/>
      <c r="F121" s="39"/>
      <c r="G121" s="39"/>
      <c r="H121" s="81">
        <v>0</v>
      </c>
      <c r="I121" s="81">
        <v>0</v>
      </c>
      <c r="J121" s="81">
        <v>0</v>
      </c>
    </row>
    <row r="122" spans="1:10" x14ac:dyDescent="0.25">
      <c r="A122" s="307"/>
      <c r="B122" s="663"/>
      <c r="C122" s="664"/>
      <c r="D122" s="39" t="s">
        <v>1450</v>
      </c>
      <c r="E122" s="39"/>
      <c r="F122" s="39"/>
      <c r="G122" s="39"/>
      <c r="H122" s="81">
        <v>0</v>
      </c>
      <c r="I122" s="81">
        <v>0</v>
      </c>
      <c r="J122" s="81">
        <v>0</v>
      </c>
    </row>
    <row r="123" spans="1:10" x14ac:dyDescent="0.25">
      <c r="A123" s="307"/>
      <c r="B123" s="663"/>
      <c r="C123" s="664"/>
      <c r="D123" s="39" t="s">
        <v>1451</v>
      </c>
      <c r="E123" s="39"/>
      <c r="F123" s="39"/>
      <c r="G123" s="39"/>
      <c r="H123" s="81">
        <v>0</v>
      </c>
      <c r="I123" s="81">
        <v>0</v>
      </c>
      <c r="J123" s="81">
        <v>0</v>
      </c>
    </row>
    <row r="124" spans="1:10" x14ac:dyDescent="0.25">
      <c r="A124" s="307"/>
      <c r="B124" s="663"/>
      <c r="C124" s="664"/>
      <c r="D124" s="39" t="s">
        <v>1452</v>
      </c>
      <c r="E124" s="39"/>
      <c r="F124" s="39"/>
      <c r="G124" s="39"/>
      <c r="H124" s="81">
        <v>0</v>
      </c>
      <c r="I124" s="81">
        <v>0</v>
      </c>
      <c r="J124" s="81">
        <v>0</v>
      </c>
    </row>
    <row r="125" spans="1:10" x14ac:dyDescent="0.25">
      <c r="A125" s="307"/>
      <c r="B125" s="663"/>
      <c r="C125" s="664"/>
      <c r="D125" s="39" t="s">
        <v>1453</v>
      </c>
      <c r="E125" s="39"/>
      <c r="F125" s="39"/>
      <c r="G125" s="39"/>
      <c r="H125" s="81">
        <v>0</v>
      </c>
      <c r="I125" s="81">
        <v>0</v>
      </c>
      <c r="J125" s="81">
        <v>0</v>
      </c>
    </row>
    <row r="126" spans="1:10" x14ac:dyDescent="0.25">
      <c r="A126" s="307"/>
      <c r="B126" s="663"/>
      <c r="C126" s="664"/>
      <c r="D126" s="39" t="s">
        <v>1454</v>
      </c>
      <c r="E126" s="39"/>
      <c r="F126" s="39"/>
      <c r="G126" s="39"/>
      <c r="H126" s="81">
        <v>0</v>
      </c>
      <c r="I126" s="81">
        <v>0</v>
      </c>
      <c r="J126" s="81">
        <v>0</v>
      </c>
    </row>
    <row r="127" spans="1:10" x14ac:dyDescent="0.25">
      <c r="A127" s="307"/>
      <c r="B127" s="663"/>
      <c r="C127" s="664"/>
      <c r="D127" s="39" t="s">
        <v>1455</v>
      </c>
      <c r="E127" s="39"/>
      <c r="F127" s="39"/>
      <c r="G127" s="39"/>
      <c r="H127" s="81">
        <v>0</v>
      </c>
      <c r="I127" s="81">
        <v>0</v>
      </c>
      <c r="J127" s="81">
        <v>0</v>
      </c>
    </row>
    <row r="128" spans="1:10" x14ac:dyDescent="0.25">
      <c r="A128" s="307"/>
      <c r="B128" s="663"/>
      <c r="C128" s="664"/>
      <c r="D128" s="39" t="s">
        <v>1456</v>
      </c>
      <c r="E128" s="39"/>
      <c r="F128" s="39"/>
      <c r="G128" s="39"/>
      <c r="H128" s="81">
        <v>0</v>
      </c>
      <c r="I128" s="81">
        <v>0</v>
      </c>
      <c r="J128" s="81">
        <v>0</v>
      </c>
    </row>
    <row r="129" spans="1:10" x14ac:dyDescent="0.25">
      <c r="A129" s="307"/>
      <c r="B129" s="663"/>
      <c r="C129" s="664"/>
      <c r="D129" s="39" t="s">
        <v>1457</v>
      </c>
      <c r="E129" s="39"/>
      <c r="F129" s="39"/>
      <c r="G129" s="39"/>
      <c r="H129" s="81">
        <v>0</v>
      </c>
      <c r="I129" s="81">
        <v>0</v>
      </c>
      <c r="J129" s="81">
        <v>0</v>
      </c>
    </row>
    <row r="130" spans="1:10" x14ac:dyDescent="0.25">
      <c r="A130" s="307"/>
      <c r="B130" s="663"/>
      <c r="C130" s="664"/>
      <c r="D130" s="39" t="s">
        <v>1458</v>
      </c>
      <c r="E130" s="39"/>
      <c r="F130" s="39"/>
      <c r="G130" s="39"/>
      <c r="H130" s="81">
        <v>0</v>
      </c>
      <c r="I130" s="81">
        <v>0</v>
      </c>
      <c r="J130" s="81">
        <v>0</v>
      </c>
    </row>
    <row r="131" spans="1:10" x14ac:dyDescent="0.25">
      <c r="A131" s="307"/>
      <c r="B131" s="663"/>
      <c r="C131" s="664"/>
      <c r="D131" s="39" t="s">
        <v>1459</v>
      </c>
      <c r="E131" s="39"/>
      <c r="F131" s="39"/>
      <c r="G131" s="39"/>
      <c r="H131" s="81">
        <v>0</v>
      </c>
      <c r="I131" s="81">
        <v>0</v>
      </c>
      <c r="J131" s="81">
        <v>0</v>
      </c>
    </row>
    <row r="132" spans="1:10" x14ac:dyDescent="0.25">
      <c r="A132" s="307"/>
      <c r="B132" s="663"/>
      <c r="C132" s="664"/>
      <c r="D132" s="39" t="s">
        <v>1460</v>
      </c>
      <c r="E132" s="39"/>
      <c r="F132" s="39"/>
      <c r="G132" s="39"/>
      <c r="H132" s="81">
        <v>0</v>
      </c>
      <c r="I132" s="81">
        <v>0</v>
      </c>
      <c r="J132" s="81">
        <v>0</v>
      </c>
    </row>
    <row r="133" spans="1:10" x14ac:dyDescent="0.25">
      <c r="A133" s="307"/>
      <c r="B133" s="663"/>
      <c r="C133" s="664"/>
      <c r="D133" s="39" t="s">
        <v>1461</v>
      </c>
      <c r="E133" s="39"/>
      <c r="F133" s="39"/>
      <c r="G133" s="39"/>
      <c r="H133" s="81">
        <v>0</v>
      </c>
      <c r="I133" s="81">
        <v>0</v>
      </c>
      <c r="J133" s="81">
        <v>0</v>
      </c>
    </row>
    <row r="134" spans="1:10" x14ac:dyDescent="0.25">
      <c r="A134" s="307"/>
      <c r="B134" s="663"/>
      <c r="C134" s="664"/>
      <c r="D134" s="39" t="s">
        <v>1462</v>
      </c>
      <c r="E134" s="39"/>
      <c r="F134" s="39"/>
      <c r="G134" s="39"/>
      <c r="H134" s="81">
        <v>0</v>
      </c>
      <c r="I134" s="81">
        <v>0</v>
      </c>
      <c r="J134" s="81">
        <v>0</v>
      </c>
    </row>
    <row r="135" spans="1:10" x14ac:dyDescent="0.25">
      <c r="A135" s="307"/>
      <c r="B135" s="663"/>
      <c r="C135" s="664"/>
      <c r="D135" s="39" t="s">
        <v>1463</v>
      </c>
      <c r="E135" s="39"/>
      <c r="F135" s="39"/>
      <c r="G135" s="39"/>
      <c r="H135" s="81">
        <v>0</v>
      </c>
      <c r="I135" s="81">
        <v>0</v>
      </c>
      <c r="J135" s="81">
        <v>0</v>
      </c>
    </row>
    <row r="136" spans="1:10" x14ac:dyDescent="0.25">
      <c r="A136" s="307"/>
      <c r="B136" s="663"/>
      <c r="C136" s="664"/>
      <c r="D136" s="39" t="s">
        <v>1464</v>
      </c>
      <c r="E136" s="39"/>
      <c r="F136" s="39"/>
      <c r="G136" s="39"/>
      <c r="H136" s="81">
        <v>0</v>
      </c>
      <c r="I136" s="81">
        <v>0</v>
      </c>
      <c r="J136" s="81">
        <v>0</v>
      </c>
    </row>
    <row r="137" spans="1:10" x14ac:dyDescent="0.25">
      <c r="A137" s="307"/>
      <c r="B137" s="663"/>
      <c r="C137" s="664"/>
      <c r="D137" s="39" t="s">
        <v>1465</v>
      </c>
      <c r="E137" s="39"/>
      <c r="F137" s="39"/>
      <c r="G137" s="39"/>
      <c r="H137" s="81">
        <v>0</v>
      </c>
      <c r="I137" s="81">
        <v>0</v>
      </c>
      <c r="J137" s="81">
        <v>0</v>
      </c>
    </row>
    <row r="138" spans="1:10" x14ac:dyDescent="0.25">
      <c r="A138" s="307"/>
      <c r="B138" s="663"/>
      <c r="C138" s="664"/>
      <c r="D138" s="39" t="s">
        <v>1466</v>
      </c>
      <c r="E138" s="39"/>
      <c r="F138" s="39"/>
      <c r="G138" s="39"/>
      <c r="H138" s="81">
        <v>0</v>
      </c>
      <c r="I138" s="81">
        <v>0</v>
      </c>
      <c r="J138" s="81">
        <v>0</v>
      </c>
    </row>
    <row r="139" spans="1:10" x14ac:dyDescent="0.25">
      <c r="A139" s="307"/>
      <c r="B139" s="663"/>
      <c r="C139" s="664"/>
      <c r="D139" s="39" t="s">
        <v>1467</v>
      </c>
      <c r="E139" s="39"/>
      <c r="F139" s="39"/>
      <c r="G139" s="39"/>
      <c r="H139" s="81">
        <v>0</v>
      </c>
      <c r="I139" s="81">
        <v>0</v>
      </c>
      <c r="J139" s="81">
        <v>0</v>
      </c>
    </row>
    <row r="140" spans="1:10" x14ac:dyDescent="0.25">
      <c r="A140" s="307"/>
      <c r="B140" s="663"/>
      <c r="C140" s="664"/>
      <c r="D140" s="39" t="s">
        <v>1468</v>
      </c>
      <c r="E140" s="39"/>
      <c r="F140" s="39"/>
      <c r="G140" s="39"/>
      <c r="H140" s="81">
        <v>0</v>
      </c>
      <c r="I140" s="81">
        <v>0</v>
      </c>
      <c r="J140" s="81">
        <v>0</v>
      </c>
    </row>
    <row r="141" spans="1:10" x14ac:dyDescent="0.25">
      <c r="A141" s="307"/>
      <c r="B141" s="663"/>
      <c r="C141" s="664"/>
      <c r="D141" s="39" t="s">
        <v>1469</v>
      </c>
      <c r="E141" s="39"/>
      <c r="F141" s="39"/>
      <c r="G141" s="39"/>
      <c r="H141" s="81">
        <v>0</v>
      </c>
      <c r="I141" s="81">
        <v>0</v>
      </c>
      <c r="J141" s="81">
        <v>0</v>
      </c>
    </row>
    <row r="142" spans="1:10" x14ac:dyDescent="0.25">
      <c r="A142" s="307"/>
      <c r="B142" s="663"/>
      <c r="C142" s="664"/>
      <c r="D142" s="39" t="s">
        <v>1470</v>
      </c>
      <c r="E142" s="39"/>
      <c r="F142" s="39"/>
      <c r="G142" s="39"/>
      <c r="H142" s="81">
        <v>0</v>
      </c>
      <c r="I142" s="81">
        <v>0</v>
      </c>
      <c r="J142" s="81">
        <v>0</v>
      </c>
    </row>
    <row r="143" spans="1:10" x14ac:dyDescent="0.25">
      <c r="A143" s="307"/>
      <c r="B143" s="663"/>
      <c r="C143" s="664"/>
      <c r="D143" s="39" t="s">
        <v>1471</v>
      </c>
      <c r="E143" s="39"/>
      <c r="F143" s="39"/>
      <c r="G143" s="39"/>
      <c r="H143" s="81">
        <v>0</v>
      </c>
      <c r="I143" s="81">
        <v>0</v>
      </c>
      <c r="J143" s="81">
        <v>0</v>
      </c>
    </row>
    <row r="144" spans="1:10" x14ac:dyDescent="0.25">
      <c r="A144" s="307"/>
      <c r="B144" s="663"/>
      <c r="C144" s="664"/>
      <c r="D144" s="39" t="s">
        <v>1472</v>
      </c>
      <c r="E144" s="39"/>
      <c r="F144" s="39"/>
      <c r="G144" s="39"/>
      <c r="H144" s="81">
        <v>0</v>
      </c>
      <c r="I144" s="81">
        <v>0</v>
      </c>
      <c r="J144" s="81">
        <v>0</v>
      </c>
    </row>
    <row r="145" spans="1:10" x14ac:dyDescent="0.25">
      <c r="A145" s="307"/>
      <c r="B145" s="663"/>
      <c r="C145" s="664"/>
      <c r="D145" s="39" t="s">
        <v>1473</v>
      </c>
      <c r="E145" s="39"/>
      <c r="F145" s="39"/>
      <c r="G145" s="39"/>
      <c r="H145" s="81">
        <v>0</v>
      </c>
      <c r="I145" s="81">
        <v>0</v>
      </c>
      <c r="J145" s="81">
        <v>0</v>
      </c>
    </row>
    <row r="146" spans="1:10" x14ac:dyDescent="0.25">
      <c r="A146" s="307"/>
      <c r="B146" s="663"/>
      <c r="C146" s="664"/>
      <c r="D146" s="39" t="s">
        <v>1474</v>
      </c>
      <c r="E146" s="39"/>
      <c r="F146" s="39"/>
      <c r="G146" s="39"/>
      <c r="H146" s="81">
        <v>0</v>
      </c>
      <c r="I146" s="81">
        <v>0</v>
      </c>
      <c r="J146" s="81">
        <v>0</v>
      </c>
    </row>
    <row r="147" spans="1:10" x14ac:dyDescent="0.25">
      <c r="A147" s="307"/>
      <c r="B147" s="663"/>
      <c r="C147" s="664"/>
      <c r="D147" s="39" t="s">
        <v>1475</v>
      </c>
      <c r="E147" s="39"/>
      <c r="F147" s="39"/>
      <c r="G147" s="39"/>
      <c r="H147" s="81">
        <v>0</v>
      </c>
      <c r="I147" s="81">
        <v>0</v>
      </c>
      <c r="J147" s="81">
        <v>0</v>
      </c>
    </row>
    <row r="148" spans="1:10" x14ac:dyDescent="0.25">
      <c r="A148" s="307"/>
      <c r="B148" s="663"/>
      <c r="C148" s="664"/>
      <c r="D148" s="39" t="s">
        <v>1476</v>
      </c>
      <c r="E148" s="39"/>
      <c r="F148" s="39"/>
      <c r="G148" s="39"/>
      <c r="H148" s="81">
        <v>0</v>
      </c>
      <c r="I148" s="81">
        <v>0</v>
      </c>
      <c r="J148" s="81">
        <v>0</v>
      </c>
    </row>
    <row r="149" spans="1:10" x14ac:dyDescent="0.25">
      <c r="A149" s="307"/>
      <c r="B149" s="663"/>
      <c r="C149" s="664"/>
      <c r="D149" s="39" t="s">
        <v>1477</v>
      </c>
      <c r="E149" s="39"/>
      <c r="F149" s="39"/>
      <c r="G149" s="39"/>
      <c r="H149" s="81">
        <v>0</v>
      </c>
      <c r="I149" s="81">
        <v>0</v>
      </c>
      <c r="J149" s="81">
        <v>0</v>
      </c>
    </row>
    <row r="150" spans="1:10" x14ac:dyDescent="0.25">
      <c r="A150" s="307"/>
      <c r="B150" s="663"/>
      <c r="C150" s="664"/>
      <c r="D150" s="39" t="s">
        <v>1478</v>
      </c>
      <c r="E150" s="39"/>
      <c r="F150" s="39"/>
      <c r="G150" s="39"/>
      <c r="H150" s="81">
        <v>0</v>
      </c>
      <c r="I150" s="81">
        <v>0</v>
      </c>
      <c r="J150" s="81">
        <v>0</v>
      </c>
    </row>
    <row r="151" spans="1:10" x14ac:dyDescent="0.25">
      <c r="A151" s="307"/>
      <c r="B151" s="663"/>
      <c r="C151" s="664"/>
      <c r="D151" s="39" t="s">
        <v>1479</v>
      </c>
      <c r="E151" s="39"/>
      <c r="F151" s="39"/>
      <c r="G151" s="39"/>
      <c r="H151" s="81">
        <v>0</v>
      </c>
      <c r="I151" s="81">
        <v>0</v>
      </c>
      <c r="J151" s="81">
        <v>0</v>
      </c>
    </row>
    <row r="152" spans="1:10" x14ac:dyDescent="0.25">
      <c r="A152" s="307"/>
      <c r="B152" s="663"/>
      <c r="C152" s="664"/>
      <c r="D152" s="39" t="s">
        <v>1480</v>
      </c>
      <c r="E152" s="39"/>
      <c r="F152" s="39"/>
      <c r="G152" s="39"/>
      <c r="H152" s="81">
        <v>0</v>
      </c>
      <c r="I152" s="81">
        <v>0</v>
      </c>
      <c r="J152" s="81">
        <v>0</v>
      </c>
    </row>
    <row r="153" spans="1:10" x14ac:dyDescent="0.25">
      <c r="A153" s="307"/>
      <c r="B153" s="663"/>
      <c r="C153" s="664"/>
      <c r="D153" s="39" t="s">
        <v>1481</v>
      </c>
      <c r="E153" s="39"/>
      <c r="F153" s="39"/>
      <c r="G153" s="39"/>
      <c r="H153" s="81">
        <v>0</v>
      </c>
      <c r="I153" s="81">
        <v>0</v>
      </c>
      <c r="J153" s="81">
        <v>0</v>
      </c>
    </row>
    <row r="154" spans="1:10" x14ac:dyDescent="0.25">
      <c r="A154" s="307"/>
      <c r="B154" s="663"/>
      <c r="C154" s="664"/>
      <c r="D154" s="39" t="s">
        <v>1482</v>
      </c>
      <c r="E154" s="39"/>
      <c r="F154" s="39"/>
      <c r="G154" s="39"/>
      <c r="H154" s="81">
        <v>0</v>
      </c>
      <c r="I154" s="81">
        <v>0</v>
      </c>
      <c r="J154" s="81">
        <v>0</v>
      </c>
    </row>
    <row r="155" spans="1:10" x14ac:dyDescent="0.25">
      <c r="A155" s="307"/>
      <c r="B155" s="663"/>
      <c r="C155" s="664"/>
      <c r="D155" s="39" t="s">
        <v>1483</v>
      </c>
      <c r="E155" s="39"/>
      <c r="F155" s="39"/>
      <c r="G155" s="39"/>
      <c r="H155" s="81">
        <v>0</v>
      </c>
      <c r="I155" s="81">
        <v>0</v>
      </c>
      <c r="J155" s="81">
        <v>0</v>
      </c>
    </row>
    <row r="156" spans="1:10" x14ac:dyDescent="0.25">
      <c r="A156" s="307"/>
      <c r="B156" s="663"/>
      <c r="C156" s="664"/>
      <c r="D156" s="39" t="s">
        <v>1484</v>
      </c>
      <c r="E156" s="39"/>
      <c r="F156" s="39"/>
      <c r="G156" s="39"/>
      <c r="H156" s="81">
        <v>0</v>
      </c>
      <c r="I156" s="81">
        <v>0</v>
      </c>
      <c r="J156" s="81">
        <v>0</v>
      </c>
    </row>
    <row r="157" spans="1:10" x14ac:dyDescent="0.25">
      <c r="A157" s="307"/>
      <c r="B157" s="663"/>
      <c r="C157" s="664"/>
      <c r="D157" s="39" t="s">
        <v>1485</v>
      </c>
      <c r="E157" s="39"/>
      <c r="F157" s="39"/>
      <c r="G157" s="39"/>
      <c r="H157" s="81">
        <v>0</v>
      </c>
      <c r="I157" s="81">
        <v>0</v>
      </c>
      <c r="J157" s="81">
        <v>0</v>
      </c>
    </row>
    <row r="158" spans="1:10" x14ac:dyDescent="0.25">
      <c r="A158" s="307"/>
      <c r="B158" s="663"/>
      <c r="C158" s="664"/>
      <c r="D158" s="39" t="s">
        <v>1486</v>
      </c>
      <c r="E158" s="39"/>
      <c r="F158" s="39"/>
      <c r="G158" s="39"/>
      <c r="H158" s="81">
        <v>0</v>
      </c>
      <c r="I158" s="81">
        <v>0</v>
      </c>
      <c r="J158" s="81">
        <v>0</v>
      </c>
    </row>
    <row r="159" spans="1:10" x14ac:dyDescent="0.25">
      <c r="A159" s="307"/>
      <c r="B159" s="663"/>
      <c r="C159" s="664"/>
      <c r="D159" s="39" t="s">
        <v>1487</v>
      </c>
      <c r="E159" s="39"/>
      <c r="F159" s="39"/>
      <c r="G159" s="39"/>
      <c r="H159" s="81">
        <v>0</v>
      </c>
      <c r="I159" s="81">
        <v>0</v>
      </c>
      <c r="J159" s="81">
        <v>0</v>
      </c>
    </row>
    <row r="160" spans="1:10" x14ac:dyDescent="0.25">
      <c r="A160" s="307"/>
      <c r="B160" s="663"/>
      <c r="C160" s="664"/>
      <c r="D160" s="39" t="s">
        <v>1488</v>
      </c>
      <c r="E160" s="39"/>
      <c r="F160" s="39"/>
      <c r="G160" s="39"/>
      <c r="H160" s="81">
        <v>0</v>
      </c>
      <c r="I160" s="81">
        <v>0</v>
      </c>
      <c r="J160" s="81">
        <v>0</v>
      </c>
    </row>
    <row r="161" spans="1:10" x14ac:dyDescent="0.25">
      <c r="A161" s="307"/>
      <c r="B161" s="663"/>
      <c r="C161" s="664"/>
      <c r="D161" s="39" t="s">
        <v>1489</v>
      </c>
      <c r="E161" s="39"/>
      <c r="F161" s="39"/>
      <c r="G161" s="39"/>
      <c r="H161" s="81">
        <v>0</v>
      </c>
      <c r="I161" s="81">
        <v>0</v>
      </c>
      <c r="J161" s="81">
        <v>0</v>
      </c>
    </row>
    <row r="162" spans="1:10" x14ac:dyDescent="0.25">
      <c r="A162" s="307"/>
      <c r="B162" s="663"/>
      <c r="C162" s="664"/>
      <c r="D162" s="39" t="s">
        <v>1490</v>
      </c>
      <c r="E162" s="39"/>
      <c r="F162" s="39"/>
      <c r="G162" s="39"/>
      <c r="H162" s="81">
        <v>0</v>
      </c>
      <c r="I162" s="81">
        <v>0</v>
      </c>
      <c r="J162" s="81">
        <v>0</v>
      </c>
    </row>
    <row r="163" spans="1:10" x14ac:dyDescent="0.25">
      <c r="A163" s="307"/>
      <c r="B163" s="663"/>
      <c r="C163" s="664"/>
      <c r="D163" s="39" t="s">
        <v>1491</v>
      </c>
      <c r="E163" s="39"/>
      <c r="F163" s="39"/>
      <c r="G163" s="39"/>
      <c r="H163" s="81">
        <v>0</v>
      </c>
      <c r="I163" s="81">
        <v>0</v>
      </c>
      <c r="J163" s="81">
        <v>0</v>
      </c>
    </row>
    <row r="164" spans="1:10" x14ac:dyDescent="0.25">
      <c r="A164" s="307"/>
      <c r="B164" s="663"/>
      <c r="C164" s="664"/>
      <c r="D164" s="39" t="s">
        <v>1492</v>
      </c>
      <c r="E164" s="39"/>
      <c r="F164" s="39"/>
      <c r="G164" s="39"/>
      <c r="H164" s="81">
        <v>0</v>
      </c>
      <c r="I164" s="81">
        <v>0</v>
      </c>
      <c r="J164" s="81">
        <v>0</v>
      </c>
    </row>
    <row r="165" spans="1:10" x14ac:dyDescent="0.25">
      <c r="A165" s="307"/>
      <c r="B165" s="663"/>
      <c r="C165" s="664"/>
      <c r="D165" s="39" t="s">
        <v>1493</v>
      </c>
      <c r="E165" s="39"/>
      <c r="F165" s="39"/>
      <c r="G165" s="39"/>
      <c r="H165" s="81">
        <v>0</v>
      </c>
      <c r="I165" s="81">
        <v>0</v>
      </c>
      <c r="J165" s="81">
        <v>0</v>
      </c>
    </row>
    <row r="166" spans="1:10" x14ac:dyDescent="0.25">
      <c r="A166" s="307"/>
      <c r="B166" s="663"/>
      <c r="C166" s="664"/>
      <c r="D166" s="39" t="s">
        <v>1494</v>
      </c>
      <c r="E166" s="39"/>
      <c r="F166" s="39"/>
      <c r="G166" s="39"/>
      <c r="H166" s="81">
        <v>0</v>
      </c>
      <c r="I166" s="81">
        <v>0</v>
      </c>
      <c r="J166" s="81">
        <v>0</v>
      </c>
    </row>
    <row r="167" spans="1:10" x14ac:dyDescent="0.25">
      <c r="A167" s="307"/>
      <c r="B167" s="663"/>
      <c r="C167" s="664"/>
      <c r="D167" s="39" t="s">
        <v>1495</v>
      </c>
      <c r="E167" s="39"/>
      <c r="F167" s="39"/>
      <c r="G167" s="39"/>
      <c r="H167" s="81">
        <v>0</v>
      </c>
      <c r="I167" s="81">
        <v>0</v>
      </c>
      <c r="J167" s="81">
        <v>0</v>
      </c>
    </row>
    <row r="168" spans="1:10" x14ac:dyDescent="0.25">
      <c r="A168" s="307"/>
      <c r="B168" s="663"/>
      <c r="C168" s="664"/>
      <c r="D168" s="39" t="s">
        <v>1496</v>
      </c>
      <c r="E168" s="39"/>
      <c r="F168" s="39"/>
      <c r="G168" s="39"/>
      <c r="H168" s="81">
        <v>0</v>
      </c>
      <c r="I168" s="81">
        <v>0</v>
      </c>
      <c r="J168" s="81">
        <v>0</v>
      </c>
    </row>
    <row r="169" spans="1:10" x14ac:dyDescent="0.25">
      <c r="A169" s="307"/>
      <c r="B169" s="663"/>
      <c r="C169" s="664"/>
      <c r="D169" s="39" t="s">
        <v>1497</v>
      </c>
      <c r="E169" s="39"/>
      <c r="F169" s="39"/>
      <c r="G169" s="39"/>
      <c r="H169" s="81">
        <v>0</v>
      </c>
      <c r="I169" s="81">
        <v>0</v>
      </c>
      <c r="J169" s="81">
        <v>0</v>
      </c>
    </row>
    <row r="170" spans="1:10" x14ac:dyDescent="0.25">
      <c r="A170" s="307"/>
      <c r="B170" s="663"/>
      <c r="C170" s="664"/>
      <c r="D170" s="39" t="s">
        <v>1498</v>
      </c>
      <c r="E170" s="39"/>
      <c r="F170" s="39"/>
      <c r="G170" s="39"/>
      <c r="H170" s="81">
        <v>0</v>
      </c>
      <c r="I170" s="81">
        <v>0</v>
      </c>
      <c r="J170" s="81">
        <v>0</v>
      </c>
    </row>
  </sheetData>
  <sheetProtection algorithmName="SHA-512" hashValue="j+yrz+y5Bg6XA+yL0QqhJy/4Ty1Rvci3eGorQmE0MwOWwS72bJQGKV9i74Z/IBIHtmSQbamznxbhNGNoXm3gXQ==" saltValue="IOwSmqf5faCUJcgV496e6A==" spinCount="100000" sheet="1" objects="1"/>
  <mergeCells count="3">
    <mergeCell ref="B5:D5"/>
    <mergeCell ref="B21:D21"/>
    <mergeCell ref="B26:D26"/>
  </mergeCells>
  <dataValidations count="3">
    <dataValidation type="whole" operator="greaterThan" allowBlank="1" showInputMessage="1" showErrorMessage="1" errorTitle="Whole numbers allowed only" error="All monies should be independently rounded to the nearest £1,000." sqref="H6:J7 H9:J16">
      <formula1>-99999999</formula1>
    </dataValidation>
    <dataValidation type="decimal" operator="greaterThanOrEqual" allowBlank="1" showInputMessage="1" showErrorMessage="1" errorTitle="Numeric values only" error="Numeric values only" sqref="H22:J23">
      <formula1>0</formula1>
    </dataValidation>
    <dataValidation type="whole" operator="greaterThan" allowBlank="1" showInputMessage="1" showErrorMessage="1" errorTitle="Whole numbers only allowed" error="All values should be whole numbers" sqref="H30:J170">
      <formula1>-999999999</formula1>
    </dataValidation>
  </dataValidations>
  <printOptions headings="1" gridLines="1"/>
  <pageMargins left="0.31496062992125984" right="0.31496062992125984" top="0.35433070866141736" bottom="0.35433070866141736" header="0.31496062992125984" footer="0.31496062992125984"/>
  <pageSetup paperSize="9"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79"/>
  <sheetViews>
    <sheetView zoomScale="90" zoomScaleNormal="90" workbookViewId="0">
      <selection activeCell="B30" sqref="B30"/>
    </sheetView>
  </sheetViews>
  <sheetFormatPr defaultRowHeight="15" x14ac:dyDescent="0.25"/>
  <cols>
    <col min="1" max="1" width="48.85546875" customWidth="1"/>
    <col min="2" max="2" width="38.28515625" bestFit="1" customWidth="1"/>
    <col min="3" max="3" width="44.5703125" customWidth="1"/>
    <col min="4" max="4" width="9.140625" customWidth="1"/>
    <col min="5" max="5" width="22.140625" bestFit="1" customWidth="1"/>
    <col min="6" max="6" width="12.42578125" bestFit="1" customWidth="1"/>
    <col min="7" max="7" width="7.42578125" bestFit="1" customWidth="1"/>
  </cols>
  <sheetData>
    <row r="1" spans="1:13" ht="14.65" customHeight="1" thickBot="1" x14ac:dyDescent="0.3">
      <c r="A1" s="85" t="s">
        <v>20</v>
      </c>
      <c r="B1" s="103" t="s">
        <v>21</v>
      </c>
      <c r="M1" s="85"/>
    </row>
    <row r="2" spans="1:13" x14ac:dyDescent="0.25">
      <c r="A2" t="s">
        <v>22</v>
      </c>
      <c r="M2" s="91"/>
    </row>
    <row r="3" spans="1:13" x14ac:dyDescent="0.25">
      <c r="A3" t="s">
        <v>23</v>
      </c>
    </row>
    <row r="4" spans="1:13" x14ac:dyDescent="0.25">
      <c r="A4" t="s">
        <v>24</v>
      </c>
    </row>
    <row r="5" spans="1:13" x14ac:dyDescent="0.25">
      <c r="A5" t="s">
        <v>25</v>
      </c>
    </row>
    <row r="6" spans="1:13" x14ac:dyDescent="0.25">
      <c r="A6" t="s">
        <v>26</v>
      </c>
    </row>
    <row r="7" spans="1:13" x14ac:dyDescent="0.25">
      <c r="A7" t="s">
        <v>27</v>
      </c>
    </row>
    <row r="8" spans="1:13" x14ac:dyDescent="0.25">
      <c r="A8" t="s">
        <v>28</v>
      </c>
    </row>
    <row r="9" spans="1:13" x14ac:dyDescent="0.25">
      <c r="A9" t="s">
        <v>29</v>
      </c>
    </row>
    <row r="10" spans="1:13" x14ac:dyDescent="0.25">
      <c r="A10" t="s">
        <v>30</v>
      </c>
    </row>
    <row r="12" spans="1:13" x14ac:dyDescent="0.25">
      <c r="A12" s="691" t="s">
        <v>31</v>
      </c>
      <c r="B12" s="691"/>
      <c r="C12" s="691"/>
      <c r="E12" s="691" t="s">
        <v>31</v>
      </c>
      <c r="F12" s="691"/>
      <c r="G12" s="691"/>
    </row>
    <row r="13" spans="1:13" x14ac:dyDescent="0.25">
      <c r="A13" s="194" t="s">
        <v>22</v>
      </c>
      <c r="B13" s="195" t="s">
        <v>32</v>
      </c>
      <c r="C13" s="196" t="s">
        <v>25</v>
      </c>
      <c r="E13" s="194" t="s">
        <v>33</v>
      </c>
      <c r="F13" s="195" t="s">
        <v>32</v>
      </c>
      <c r="G13" s="196" t="s">
        <v>22</v>
      </c>
    </row>
    <row r="14" spans="1:13" x14ac:dyDescent="0.25">
      <c r="A14" s="194" t="s">
        <v>24</v>
      </c>
      <c r="B14" s="195" t="s">
        <v>32</v>
      </c>
      <c r="C14" s="196" t="s">
        <v>23</v>
      </c>
      <c r="E14" s="194" t="s">
        <v>24</v>
      </c>
      <c r="F14" s="195" t="s">
        <v>32</v>
      </c>
      <c r="G14" s="196" t="s">
        <v>23</v>
      </c>
    </row>
    <row r="15" spans="1:13" x14ac:dyDescent="0.25">
      <c r="A15" s="194" t="s">
        <v>34</v>
      </c>
      <c r="B15" s="195" t="s">
        <v>32</v>
      </c>
      <c r="C15" s="196" t="s">
        <v>27</v>
      </c>
      <c r="E15" s="194" t="s">
        <v>35</v>
      </c>
      <c r="F15" s="195" t="s">
        <v>32</v>
      </c>
      <c r="G15" s="196" t="s">
        <v>25</v>
      </c>
    </row>
    <row r="16" spans="1:13" x14ac:dyDescent="0.25">
      <c r="A16" s="194" t="s">
        <v>26</v>
      </c>
      <c r="B16" s="195" t="s">
        <v>32</v>
      </c>
      <c r="C16" s="196" t="s">
        <v>27</v>
      </c>
      <c r="E16" s="194" t="s">
        <v>36</v>
      </c>
      <c r="F16" s="195" t="s">
        <v>32</v>
      </c>
      <c r="G16" s="196" t="s">
        <v>27</v>
      </c>
    </row>
    <row r="17" spans="1:10" x14ac:dyDescent="0.25">
      <c r="A17" s="194" t="s">
        <v>27</v>
      </c>
      <c r="B17" s="195" t="s">
        <v>32</v>
      </c>
      <c r="C17" s="196" t="s">
        <v>22</v>
      </c>
    </row>
    <row r="18" spans="1:10" ht="14.65" customHeight="1" thickBot="1" x14ac:dyDescent="0.3">
      <c r="A18" s="194" t="s">
        <v>37</v>
      </c>
      <c r="B18" s="195" t="s">
        <v>32</v>
      </c>
      <c r="C18" s="196" t="s">
        <v>27</v>
      </c>
    </row>
    <row r="19" spans="1:10" ht="14.65" customHeight="1" thickBot="1" x14ac:dyDescent="0.3">
      <c r="A19" s="194" t="s">
        <v>38</v>
      </c>
      <c r="B19" s="195" t="s">
        <v>32</v>
      </c>
      <c r="C19" s="196" t="s">
        <v>22</v>
      </c>
      <c r="E19" s="120" t="s">
        <v>39</v>
      </c>
      <c r="F19" s="122">
        <v>4</v>
      </c>
      <c r="G19" s="125">
        <v>8</v>
      </c>
      <c r="H19" s="126">
        <v>9</v>
      </c>
      <c r="I19" s="126">
        <v>10</v>
      </c>
      <c r="J19" s="127">
        <v>12</v>
      </c>
    </row>
    <row r="20" spans="1:10" ht="14.65" customHeight="1" thickBot="1" x14ac:dyDescent="0.3">
      <c r="A20" s="194" t="s">
        <v>38</v>
      </c>
      <c r="B20" s="195" t="s">
        <v>32</v>
      </c>
      <c r="C20" s="196" t="s">
        <v>25</v>
      </c>
      <c r="E20" s="121">
        <v>2</v>
      </c>
      <c r="F20" s="123">
        <v>5</v>
      </c>
    </row>
    <row r="21" spans="1:10" x14ac:dyDescent="0.25">
      <c r="A21" s="194" t="s">
        <v>29</v>
      </c>
      <c r="B21" s="195" t="s">
        <v>32</v>
      </c>
      <c r="C21" s="196" t="s">
        <v>22</v>
      </c>
      <c r="F21" s="123" t="s">
        <v>40</v>
      </c>
    </row>
    <row r="22" spans="1:10" x14ac:dyDescent="0.25">
      <c r="A22" s="197"/>
      <c r="B22" s="197"/>
      <c r="C22" s="197"/>
      <c r="F22" s="108"/>
    </row>
    <row r="23" spans="1:10" ht="14.65" customHeight="1" thickBot="1" x14ac:dyDescent="0.3">
      <c r="A23" s="85" t="s">
        <v>41</v>
      </c>
      <c r="F23" s="128">
        <v>6</v>
      </c>
    </row>
    <row r="24" spans="1:10" x14ac:dyDescent="0.25">
      <c r="A24" t="s">
        <v>42</v>
      </c>
      <c r="F24" s="129">
        <v>6</v>
      </c>
    </row>
    <row r="25" spans="1:10" x14ac:dyDescent="0.25">
      <c r="F25" s="123">
        <v>7</v>
      </c>
    </row>
    <row r="26" spans="1:10" x14ac:dyDescent="0.25">
      <c r="A26" s="85" t="s">
        <v>43</v>
      </c>
      <c r="F26" s="123">
        <v>11</v>
      </c>
    </row>
    <row r="27" spans="1:10" x14ac:dyDescent="0.25">
      <c r="A27" t="s">
        <v>44</v>
      </c>
      <c r="F27" s="108"/>
    </row>
    <row r="28" spans="1:10" ht="14.65" customHeight="1" thickBot="1" x14ac:dyDescent="0.3">
      <c r="A28" s="86" t="s">
        <v>45</v>
      </c>
      <c r="F28" s="128">
        <v>1</v>
      </c>
    </row>
    <row r="29" spans="1:10" x14ac:dyDescent="0.25">
      <c r="A29" s="87" t="s">
        <v>46</v>
      </c>
      <c r="F29" s="129">
        <v>1</v>
      </c>
    </row>
    <row r="30" spans="1:10" x14ac:dyDescent="0.25">
      <c r="A30" s="87" t="s">
        <v>47</v>
      </c>
      <c r="F30" s="123"/>
    </row>
    <row r="31" spans="1:10" ht="14.65" customHeight="1" thickBot="1" x14ac:dyDescent="0.3">
      <c r="F31" s="124">
        <v>3</v>
      </c>
    </row>
    <row r="32" spans="1:10" x14ac:dyDescent="0.25">
      <c r="A32" s="85" t="s">
        <v>48</v>
      </c>
    </row>
    <row r="33" spans="1:3" x14ac:dyDescent="0.25">
      <c r="A33" t="s">
        <v>49</v>
      </c>
    </row>
    <row r="34" spans="1:3" x14ac:dyDescent="0.25">
      <c r="A34" t="s">
        <v>50</v>
      </c>
    </row>
    <row r="36" spans="1:3" x14ac:dyDescent="0.25">
      <c r="A36" s="85" t="s">
        <v>51</v>
      </c>
    </row>
    <row r="37" spans="1:3" ht="14.65" customHeight="1" thickBot="1" x14ac:dyDescent="0.3"/>
    <row r="38" spans="1:3" ht="14.65" customHeight="1" thickBot="1" x14ac:dyDescent="0.3">
      <c r="A38" s="93" t="s">
        <v>52</v>
      </c>
      <c r="B38" s="94" t="s">
        <v>53</v>
      </c>
      <c r="C38" s="93" t="s">
        <v>54</v>
      </c>
    </row>
    <row r="39" spans="1:3" ht="24.95" customHeight="1" thickBot="1" x14ac:dyDescent="0.3">
      <c r="A39" s="198" t="s">
        <v>55</v>
      </c>
      <c r="B39" s="199" t="s">
        <v>56</v>
      </c>
      <c r="C39" s="198" t="s">
        <v>57</v>
      </c>
    </row>
    <row r="40" spans="1:3" ht="14.65" customHeight="1" thickBot="1" x14ac:dyDescent="0.3">
      <c r="A40" s="200" t="s">
        <v>58</v>
      </c>
      <c r="B40" s="201"/>
      <c r="C40" s="202"/>
    </row>
    <row r="41" spans="1:3" ht="14.65" customHeight="1" thickBot="1" x14ac:dyDescent="0.3">
      <c r="A41" s="198" t="s">
        <v>59</v>
      </c>
      <c r="B41" s="199" t="s">
        <v>60</v>
      </c>
      <c r="C41" s="198" t="s">
        <v>61</v>
      </c>
    </row>
    <row r="42" spans="1:3" ht="24.95" customHeight="1" thickBot="1" x14ac:dyDescent="0.3">
      <c r="A42" s="198" t="s">
        <v>62</v>
      </c>
      <c r="B42" s="203" t="s">
        <v>63</v>
      </c>
      <c r="C42" s="198" t="s">
        <v>64</v>
      </c>
    </row>
    <row r="43" spans="1:3" ht="14.65" customHeight="1" thickBot="1" x14ac:dyDescent="0.3">
      <c r="A43" s="198" t="s">
        <v>65</v>
      </c>
      <c r="B43" s="199" t="s">
        <v>66</v>
      </c>
      <c r="C43" s="198" t="s">
        <v>67</v>
      </c>
    </row>
    <row r="44" spans="1:3" ht="37.15" customHeight="1" thickBot="1" x14ac:dyDescent="0.3">
      <c r="A44" s="198" t="s">
        <v>68</v>
      </c>
      <c r="B44" s="199" t="s">
        <v>69</v>
      </c>
      <c r="C44" s="198" t="s">
        <v>70</v>
      </c>
    </row>
    <row r="45" spans="1:3" ht="37.15" customHeight="1" thickBot="1" x14ac:dyDescent="0.3">
      <c r="A45" s="198" t="s">
        <v>71</v>
      </c>
      <c r="B45" s="199" t="s">
        <v>72</v>
      </c>
      <c r="C45" s="198" t="s">
        <v>73</v>
      </c>
    </row>
    <row r="46" spans="1:3" ht="14.65" customHeight="1" thickBot="1" x14ac:dyDescent="0.3">
      <c r="A46" s="198" t="s">
        <v>74</v>
      </c>
      <c r="B46" s="199" t="s">
        <v>75</v>
      </c>
      <c r="C46" s="198" t="s">
        <v>76</v>
      </c>
    </row>
    <row r="47" spans="1:3" ht="14.65" customHeight="1" thickBot="1" x14ac:dyDescent="0.3">
      <c r="A47" s="198" t="s">
        <v>77</v>
      </c>
      <c r="B47" s="203" t="s">
        <v>63</v>
      </c>
      <c r="C47" s="198" t="s">
        <v>78</v>
      </c>
    </row>
    <row r="48" spans="1:3" ht="14.65" customHeight="1" thickBot="1" x14ac:dyDescent="0.3">
      <c r="A48" s="198" t="s">
        <v>79</v>
      </c>
      <c r="B48" s="203" t="s">
        <v>63</v>
      </c>
      <c r="C48" s="198" t="s">
        <v>80</v>
      </c>
    </row>
    <row r="49" spans="1:3" ht="24.95" customHeight="1" thickBot="1" x14ac:dyDescent="0.3">
      <c r="A49" s="198" t="s">
        <v>81</v>
      </c>
      <c r="B49" s="203" t="s">
        <v>63</v>
      </c>
      <c r="C49" s="198" t="s">
        <v>82</v>
      </c>
    </row>
    <row r="50" spans="1:3" ht="24.95" customHeight="1" thickBot="1" x14ac:dyDescent="0.3">
      <c r="A50" s="198" t="s">
        <v>83</v>
      </c>
      <c r="B50" s="199" t="s">
        <v>84</v>
      </c>
      <c r="C50" s="198" t="s">
        <v>85</v>
      </c>
    </row>
    <row r="51" spans="1:3" ht="14.65" customHeight="1" thickBot="1" x14ac:dyDescent="0.3">
      <c r="A51" s="198" t="s">
        <v>86</v>
      </c>
      <c r="B51" s="199" t="s">
        <v>87</v>
      </c>
      <c r="C51" s="198" t="s">
        <v>88</v>
      </c>
    </row>
    <row r="52" spans="1:3" ht="37.15" customHeight="1" thickBot="1" x14ac:dyDescent="0.3">
      <c r="A52" s="198" t="s">
        <v>89</v>
      </c>
      <c r="B52" s="203" t="s">
        <v>90</v>
      </c>
      <c r="C52" s="198" t="s">
        <v>91</v>
      </c>
    </row>
    <row r="53" spans="1:3" ht="14.65" customHeight="1" thickBot="1" x14ac:dyDescent="0.3">
      <c r="A53" s="198" t="s">
        <v>92</v>
      </c>
      <c r="B53" s="199" t="s">
        <v>93</v>
      </c>
      <c r="C53" s="198" t="s">
        <v>94</v>
      </c>
    </row>
    <row r="54" spans="1:3" ht="14.65" customHeight="1" thickBot="1" x14ac:dyDescent="0.3">
      <c r="A54" s="198" t="s">
        <v>95</v>
      </c>
      <c r="B54" s="199" t="s">
        <v>96</v>
      </c>
      <c r="C54" s="198" t="s">
        <v>97</v>
      </c>
    </row>
    <row r="55" spans="1:3" ht="24.95" customHeight="1" thickBot="1" x14ac:dyDescent="0.3">
      <c r="A55" s="198" t="s">
        <v>98</v>
      </c>
      <c r="B55" s="199" t="s">
        <v>99</v>
      </c>
      <c r="C55" s="198" t="s">
        <v>100</v>
      </c>
    </row>
    <row r="56" spans="1:3" ht="14.65" customHeight="1" thickBot="1" x14ac:dyDescent="0.3">
      <c r="A56" s="198" t="s">
        <v>101</v>
      </c>
      <c r="B56" s="203" t="s">
        <v>90</v>
      </c>
      <c r="C56" s="198" t="s">
        <v>101</v>
      </c>
    </row>
    <row r="57" spans="1:3" ht="14.65" customHeight="1" thickBot="1" x14ac:dyDescent="0.3">
      <c r="A57" s="200" t="s">
        <v>90</v>
      </c>
      <c r="B57" s="199" t="s">
        <v>102</v>
      </c>
      <c r="C57" s="200" t="s">
        <v>90</v>
      </c>
    </row>
    <row r="58" spans="1:3" ht="14.65" customHeight="1" thickBot="1" x14ac:dyDescent="0.3">
      <c r="A58" s="200" t="s">
        <v>90</v>
      </c>
      <c r="B58" s="199" t="s">
        <v>103</v>
      </c>
      <c r="C58" s="200" t="s">
        <v>90</v>
      </c>
    </row>
    <row r="59" spans="1:3" ht="14.65" customHeight="1" thickBot="1" x14ac:dyDescent="0.3">
      <c r="A59" s="200" t="s">
        <v>90</v>
      </c>
      <c r="B59" s="199" t="s">
        <v>104</v>
      </c>
      <c r="C59" s="200" t="s">
        <v>90</v>
      </c>
    </row>
    <row r="61" spans="1:3" ht="32.450000000000003" customHeight="1" x14ac:dyDescent="0.25">
      <c r="A61" s="95" t="s">
        <v>105</v>
      </c>
    </row>
    <row r="63" spans="1:3" ht="16.149999999999999" customHeight="1" x14ac:dyDescent="0.25">
      <c r="A63" s="96" t="s">
        <v>106</v>
      </c>
    </row>
    <row r="64" spans="1:3" ht="16.149999999999999" customHeight="1" x14ac:dyDescent="0.25">
      <c r="A64" s="96" t="s">
        <v>107</v>
      </c>
    </row>
    <row r="65" spans="1:1" ht="16.149999999999999" customHeight="1" x14ac:dyDescent="0.25">
      <c r="A65" s="96" t="s">
        <v>108</v>
      </c>
    </row>
    <row r="66" spans="1:1" ht="16.149999999999999" customHeight="1" x14ac:dyDescent="0.25">
      <c r="A66" s="96" t="s">
        <v>109</v>
      </c>
    </row>
    <row r="67" spans="1:1" ht="16.149999999999999" customHeight="1" x14ac:dyDescent="0.25">
      <c r="A67" s="96" t="s">
        <v>110</v>
      </c>
    </row>
    <row r="68" spans="1:1" ht="16.149999999999999" customHeight="1" x14ac:dyDescent="0.25">
      <c r="A68" s="96" t="s">
        <v>111</v>
      </c>
    </row>
    <row r="69" spans="1:1" ht="16.149999999999999" customHeight="1" x14ac:dyDescent="0.25">
      <c r="A69" s="96" t="s">
        <v>112</v>
      </c>
    </row>
    <row r="70" spans="1:1" ht="16.149999999999999" customHeight="1" x14ac:dyDescent="0.25">
      <c r="A70" s="96" t="s">
        <v>113</v>
      </c>
    </row>
    <row r="71" spans="1:1" ht="16.149999999999999" customHeight="1" x14ac:dyDescent="0.25">
      <c r="A71" s="96" t="s">
        <v>114</v>
      </c>
    </row>
    <row r="72" spans="1:1" ht="16.149999999999999" customHeight="1" x14ac:dyDescent="0.25">
      <c r="A72" s="96" t="s">
        <v>115</v>
      </c>
    </row>
    <row r="73" spans="1:1" ht="16.149999999999999" customHeight="1" x14ac:dyDescent="0.25">
      <c r="A73" s="96" t="s">
        <v>116</v>
      </c>
    </row>
    <row r="75" spans="1:1" ht="16.149999999999999" customHeight="1" x14ac:dyDescent="0.25">
      <c r="A75" s="96" t="s">
        <v>117</v>
      </c>
    </row>
    <row r="76" spans="1:1" x14ac:dyDescent="0.25">
      <c r="A76" s="97"/>
    </row>
    <row r="77" spans="1:1" ht="16.149999999999999" customHeight="1" x14ac:dyDescent="0.25">
      <c r="A77" s="98" t="s">
        <v>118</v>
      </c>
    </row>
    <row r="78" spans="1:1" ht="16.149999999999999" customHeight="1" x14ac:dyDescent="0.25">
      <c r="A78" s="98" t="s">
        <v>119</v>
      </c>
    </row>
    <row r="79" spans="1:1" ht="16.149999999999999" customHeight="1" x14ac:dyDescent="0.25">
      <c r="A79" s="98" t="s">
        <v>120</v>
      </c>
    </row>
  </sheetData>
  <sheetProtection algorithmName="SHA-512" hashValue="EBApH/Ws7mJGUdsJ9wQoH6NaxCEJ/ocZtsCJOUEe0UA3flc9TRZW6ENOiRfWbJ/ezmpL6TsuF9buO8tu2/SiDg==" saltValue="/C4h++Ep+EZNPbVYy+Ayvg==" spinCount="100000" sheet="1" objects="1"/>
  <mergeCells count="2">
    <mergeCell ref="A12:C12"/>
    <mergeCell ref="E12:G1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J20"/>
  <sheetViews>
    <sheetView workbookViewId="0"/>
  </sheetViews>
  <sheetFormatPr defaultColWidth="10.7109375" defaultRowHeight="15" x14ac:dyDescent="0.25"/>
  <cols>
    <col min="1" max="1" width="11.28515625" bestFit="1" customWidth="1"/>
    <col min="2" max="2" width="1.85546875" customWidth="1"/>
    <col min="3" max="3" width="2.7109375" customWidth="1"/>
    <col min="4" max="4" width="128.28515625" customWidth="1"/>
    <col min="5" max="5" width="0" hidden="1" customWidth="1"/>
    <col min="6" max="7" width="73.7109375" hidden="1" customWidth="1"/>
    <col min="8" max="8" width="17.85546875" customWidth="1"/>
    <col min="9" max="9" width="16.42578125" customWidth="1"/>
    <col min="10" max="10" width="17.28515625" hidden="1" customWidth="1"/>
  </cols>
  <sheetData>
    <row r="1" spans="1:10" ht="56.25" customHeight="1" x14ac:dyDescent="0.25">
      <c r="A1" s="288" t="s">
        <v>1499</v>
      </c>
      <c r="B1" s="289" t="s">
        <v>1500</v>
      </c>
      <c r="C1" s="289"/>
      <c r="D1" s="289"/>
      <c r="E1" s="289"/>
      <c r="F1" s="289"/>
      <c r="G1" s="289"/>
      <c r="H1" s="600" t="s">
        <v>1501</v>
      </c>
      <c r="I1" s="291" t="s">
        <v>709</v>
      </c>
      <c r="J1" s="291" t="s">
        <v>709</v>
      </c>
    </row>
    <row r="2" spans="1:10" ht="41.25" customHeight="1" x14ac:dyDescent="0.25">
      <c r="A2" s="294"/>
      <c r="B2" s="372"/>
      <c r="C2" s="372"/>
      <c r="D2" s="372"/>
      <c r="E2" s="372"/>
      <c r="F2" s="372"/>
      <c r="G2" s="372"/>
      <c r="H2" s="603"/>
      <c r="I2" s="297" t="s">
        <v>710</v>
      </c>
      <c r="J2" s="297" t="s">
        <v>711</v>
      </c>
    </row>
    <row r="3" spans="1:10" ht="30.4" customHeight="1" x14ac:dyDescent="0.25">
      <c r="A3" s="298"/>
      <c r="B3" s="259"/>
      <c r="C3" s="259"/>
      <c r="D3" s="259"/>
      <c r="E3" s="259"/>
      <c r="F3" s="299"/>
      <c r="G3" s="259"/>
      <c r="H3" s="300" t="str">
        <f>'Hide_me(drop_downs)'!I1</f>
        <v>Year ended 31 July 2020</v>
      </c>
      <c r="I3" s="301" t="str">
        <f>'Hide_me(drop_downs)'!J1</f>
        <v>Year ended 31 July 2019</v>
      </c>
      <c r="J3" s="301" t="str">
        <f>'Hide_me(drop_downs)'!J1</f>
        <v>Year ended 31 July 2019</v>
      </c>
    </row>
    <row r="4" spans="1:10" ht="15.4" customHeight="1" x14ac:dyDescent="0.25">
      <c r="A4" s="303"/>
      <c r="B4" s="304"/>
      <c r="C4" s="304"/>
      <c r="D4" s="304"/>
      <c r="E4" s="304"/>
      <c r="F4" s="305"/>
      <c r="G4" s="305"/>
      <c r="H4" s="306" t="s">
        <v>717</v>
      </c>
      <c r="I4" s="301" t="s">
        <v>717</v>
      </c>
      <c r="J4" s="301" t="s">
        <v>717</v>
      </c>
    </row>
    <row r="5" spans="1:10" x14ac:dyDescent="0.25">
      <c r="A5" s="307">
        <v>1</v>
      </c>
      <c r="B5" s="771" t="s">
        <v>1502</v>
      </c>
      <c r="C5" s="772"/>
      <c r="D5" s="772"/>
      <c r="E5" s="772"/>
      <c r="F5" s="773"/>
      <c r="G5" s="310"/>
      <c r="H5" s="311"/>
      <c r="I5" s="311"/>
      <c r="J5" s="311"/>
    </row>
    <row r="6" spans="1:10" x14ac:dyDescent="0.25">
      <c r="A6" s="307" t="s">
        <v>723</v>
      </c>
      <c r="B6" s="325"/>
      <c r="C6" s="764" t="s">
        <v>1503</v>
      </c>
      <c r="D6" s="764"/>
      <c r="E6" s="764"/>
      <c r="F6" s="765"/>
      <c r="G6" s="665"/>
      <c r="H6" s="320">
        <v>0</v>
      </c>
      <c r="I6" s="320">
        <v>0</v>
      </c>
      <c r="J6" s="320">
        <v>0</v>
      </c>
    </row>
    <row r="7" spans="1:10" x14ac:dyDescent="0.25">
      <c r="A7" s="307" t="s">
        <v>725</v>
      </c>
      <c r="B7" s="325"/>
      <c r="C7" s="764" t="s">
        <v>1504</v>
      </c>
      <c r="D7" s="764"/>
      <c r="E7" s="764"/>
      <c r="F7" s="765"/>
      <c r="G7" s="665"/>
      <c r="H7" s="320">
        <v>0</v>
      </c>
      <c r="I7" s="320">
        <v>0</v>
      </c>
      <c r="J7" s="320">
        <v>0</v>
      </c>
    </row>
    <row r="8" spans="1:10" x14ac:dyDescent="0.25">
      <c r="A8" s="307" t="s">
        <v>727</v>
      </c>
      <c r="B8" s="325"/>
      <c r="C8" s="764" t="s">
        <v>1505</v>
      </c>
      <c r="D8" s="764"/>
      <c r="E8" s="764"/>
      <c r="F8" s="765"/>
      <c r="G8" s="665"/>
      <c r="H8" s="320">
        <v>0</v>
      </c>
      <c r="I8" s="320">
        <v>0</v>
      </c>
      <c r="J8" s="320">
        <v>0</v>
      </c>
    </row>
    <row r="9" spans="1:10" ht="14.65" customHeight="1" x14ac:dyDescent="0.25">
      <c r="A9" s="307" t="s">
        <v>729</v>
      </c>
      <c r="B9" s="325"/>
      <c r="C9" s="764" t="s">
        <v>1506</v>
      </c>
      <c r="D9" s="764"/>
      <c r="E9" s="764"/>
      <c r="F9" s="765"/>
      <c r="G9" s="314"/>
      <c r="H9" s="769" t="s">
        <v>1507</v>
      </c>
      <c r="I9" s="757"/>
    </row>
    <row r="10" spans="1:10" x14ac:dyDescent="0.25">
      <c r="A10" s="307" t="s">
        <v>731</v>
      </c>
      <c r="B10" s="348"/>
      <c r="C10" s="764" t="s">
        <v>1508</v>
      </c>
      <c r="D10" s="764"/>
      <c r="E10" s="764"/>
      <c r="F10" s="765"/>
      <c r="G10" s="665"/>
      <c r="H10" s="320">
        <v>0</v>
      </c>
      <c r="I10" s="320">
        <v>0</v>
      </c>
      <c r="J10" s="320">
        <v>0</v>
      </c>
    </row>
    <row r="11" spans="1:10" x14ac:dyDescent="0.25">
      <c r="A11" s="307"/>
      <c r="B11" s="326"/>
      <c r="C11" s="770"/>
      <c r="D11" s="770"/>
      <c r="E11" s="315"/>
      <c r="F11" s="316"/>
      <c r="G11" s="316"/>
      <c r="H11" s="666"/>
      <c r="I11" s="666"/>
      <c r="J11" s="666"/>
    </row>
    <row r="12" spans="1:10" x14ac:dyDescent="0.25">
      <c r="A12" s="307">
        <v>2</v>
      </c>
      <c r="B12" s="667" t="s">
        <v>1509</v>
      </c>
      <c r="C12" s="619"/>
      <c r="D12" s="309"/>
      <c r="E12" s="309"/>
      <c r="F12" s="310"/>
      <c r="G12" s="310"/>
      <c r="H12" s="311"/>
      <c r="I12" s="311"/>
      <c r="J12" s="311"/>
    </row>
    <row r="13" spans="1:10" x14ac:dyDescent="0.25">
      <c r="A13" s="307" t="s">
        <v>738</v>
      </c>
      <c r="B13" s="325"/>
      <c r="C13" s="764" t="s">
        <v>1510</v>
      </c>
      <c r="D13" s="764"/>
      <c r="E13" s="764"/>
      <c r="F13" s="765"/>
      <c r="G13" s="665"/>
      <c r="H13" s="355"/>
      <c r="I13" s="355"/>
      <c r="J13" s="355"/>
    </row>
    <row r="14" spans="1:10" x14ac:dyDescent="0.25">
      <c r="A14" s="307" t="s">
        <v>1084</v>
      </c>
      <c r="B14" s="437"/>
      <c r="C14" s="314"/>
      <c r="D14" s="764" t="s">
        <v>1511</v>
      </c>
      <c r="E14" s="764"/>
      <c r="F14" s="765"/>
      <c r="G14" s="665"/>
      <c r="H14" s="320">
        <v>39</v>
      </c>
      <c r="I14" s="320">
        <v>0</v>
      </c>
      <c r="J14" s="320">
        <v>0</v>
      </c>
    </row>
    <row r="15" spans="1:10" x14ac:dyDescent="0.25">
      <c r="A15" s="307" t="s">
        <v>1086</v>
      </c>
      <c r="B15" s="437"/>
      <c r="C15" s="314"/>
      <c r="D15" s="764" t="s">
        <v>1512</v>
      </c>
      <c r="E15" s="764"/>
      <c r="F15" s="765"/>
      <c r="G15" s="665"/>
      <c r="H15" s="320">
        <v>1</v>
      </c>
      <c r="I15" s="320">
        <v>0</v>
      </c>
      <c r="J15" s="320">
        <v>0</v>
      </c>
    </row>
    <row r="16" spans="1:10" x14ac:dyDescent="0.25">
      <c r="A16" s="307" t="s">
        <v>740</v>
      </c>
      <c r="B16" s="325"/>
      <c r="C16" s="764" t="s">
        <v>1513</v>
      </c>
      <c r="D16" s="764"/>
      <c r="E16" s="764"/>
      <c r="F16" s="765"/>
      <c r="G16" s="665"/>
      <c r="H16" s="668"/>
      <c r="I16" s="668"/>
      <c r="J16" s="668"/>
    </row>
    <row r="17" spans="1:10" x14ac:dyDescent="0.25">
      <c r="A17" s="307" t="s">
        <v>1084</v>
      </c>
      <c r="B17" s="314"/>
      <c r="C17" s="314"/>
      <c r="D17" s="764" t="s">
        <v>1511</v>
      </c>
      <c r="E17" s="764"/>
      <c r="F17" s="765"/>
      <c r="G17" s="665"/>
      <c r="H17" s="320">
        <v>0</v>
      </c>
      <c r="I17" s="320">
        <v>0</v>
      </c>
      <c r="J17" s="320">
        <v>0</v>
      </c>
    </row>
    <row r="18" spans="1:10" x14ac:dyDescent="0.25">
      <c r="A18" s="307" t="s">
        <v>1086</v>
      </c>
      <c r="B18" s="326"/>
      <c r="C18" s="326"/>
      <c r="D18" s="764" t="s">
        <v>1512</v>
      </c>
      <c r="E18" s="764"/>
      <c r="F18" s="765"/>
      <c r="G18" s="665"/>
      <c r="H18" s="320">
        <v>0</v>
      </c>
      <c r="I18" s="320">
        <v>0</v>
      </c>
      <c r="J18" s="320">
        <v>0</v>
      </c>
    </row>
    <row r="20" spans="1:10" x14ac:dyDescent="0.25">
      <c r="A20" s="307">
        <v>3</v>
      </c>
      <c r="B20" s="766" t="s">
        <v>1514</v>
      </c>
      <c r="C20" s="767"/>
      <c r="D20" s="767"/>
      <c r="E20" s="767"/>
      <c r="F20" s="768"/>
      <c r="G20" s="665"/>
      <c r="H20" s="320" t="s">
        <v>5</v>
      </c>
      <c r="I20" s="320" t="s">
        <v>4</v>
      </c>
      <c r="J20" s="355"/>
    </row>
  </sheetData>
  <sheetProtection algorithmName="SHA-512" hashValue="Pqoyo6HKrum/Qif0Oqv2QAzs1DggQ38pgzdwXnqjOBMDvc3pKEH4s+jAWwdtl8+FfnDrhOgM+ImzsZiDhNhgrQ==" saltValue="vy4kKql22nO/Qypmb9bH7Q==" spinCount="100000" sheet="1" objects="1"/>
  <mergeCells count="15">
    <mergeCell ref="B5:F5"/>
    <mergeCell ref="C6:F6"/>
    <mergeCell ref="C7:F7"/>
    <mergeCell ref="C8:F8"/>
    <mergeCell ref="C9:F9"/>
    <mergeCell ref="H9:I9"/>
    <mergeCell ref="C10:F10"/>
    <mergeCell ref="C11:D11"/>
    <mergeCell ref="C13:F13"/>
    <mergeCell ref="D14:F14"/>
    <mergeCell ref="D15:F15"/>
    <mergeCell ref="C16:F16"/>
    <mergeCell ref="D17:F17"/>
    <mergeCell ref="D18:F18"/>
    <mergeCell ref="B20:F20"/>
  </mergeCells>
  <dataValidations count="3">
    <dataValidation type="whole" operator="greaterThan" allowBlank="1" showInputMessage="1" showErrorMessage="1" errorTitle="Whole numbers allowed only" error="All monies should be independently rounded to the nearest £1,000." sqref="H6:J8 H10:J10 H14:J14 H17:J17">
      <formula1>-99999999</formula1>
    </dataValidation>
    <dataValidation type="whole" operator="greaterThanOrEqual" allowBlank="1" showInputMessage="1" showErrorMessage="1" errorTitle="Whole numbers only" error="Whole numbers only." sqref="H15:J15 H18:J18">
      <formula1>0</formula1>
    </dataValidation>
    <dataValidation type="textLength" allowBlank="1" showInputMessage="1" showErrorMessage="1" errorTitle="Maximum 255 text characters" error="Only text up to 255 characters is allowed here." promptTitle="Maximum 255 text characters" sqref="H9:I9">
      <formula1>0</formula1>
      <formula2>255</formula2>
    </dataValidation>
  </dataValidations>
  <printOptions headings="1" gridLines="1"/>
  <pageMargins left="0.31496062992125984" right="0.31496062992125984" top="0.74803149606299213" bottom="0.74803149606299213"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'Hide_me(drop_downs)'!$A$2:$A$3</xm:f>
          </x14:formula1>
          <xm:sqref>H20 I20</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I19"/>
  <sheetViews>
    <sheetView workbookViewId="0"/>
  </sheetViews>
  <sheetFormatPr defaultColWidth="9.140625" defaultRowHeight="15" x14ac:dyDescent="0.25"/>
  <cols>
    <col min="1" max="1" width="9.140625" customWidth="1"/>
    <col min="2" max="2" width="36.5703125" customWidth="1"/>
    <col min="3" max="3" width="9.85546875" customWidth="1"/>
    <col min="4" max="4" width="82.85546875" customWidth="1"/>
    <col min="5" max="5" width="19.42578125" hidden="1" customWidth="1"/>
    <col min="6" max="6" width="22.85546875" hidden="1" customWidth="1"/>
    <col min="7" max="7" width="10.7109375" bestFit="1" customWidth="1"/>
    <col min="8" max="8" width="12.7109375" bestFit="1" customWidth="1"/>
    <col min="9" max="9" width="18" customWidth="1"/>
    <col min="10" max="10" width="9.140625" customWidth="1"/>
  </cols>
  <sheetData>
    <row r="1" spans="1:9" ht="15.4" customHeight="1" x14ac:dyDescent="0.25">
      <c r="A1" s="669" t="s">
        <v>1515</v>
      </c>
      <c r="B1" s="669"/>
      <c r="C1" s="670"/>
      <c r="D1" s="670"/>
      <c r="E1" s="669"/>
      <c r="F1" s="670"/>
      <c r="G1" s="670"/>
      <c r="H1" s="670"/>
      <c r="I1" s="671"/>
    </row>
    <row r="2" spans="1:9" ht="15.6" customHeight="1" thickBot="1" x14ac:dyDescent="0.3">
      <c r="A2" s="669"/>
      <c r="B2" s="672"/>
      <c r="C2" s="672"/>
      <c r="D2" s="670"/>
      <c r="E2" s="673" t="s">
        <v>1264</v>
      </c>
      <c r="F2" s="674"/>
      <c r="G2" s="674"/>
      <c r="H2" s="674"/>
      <c r="I2" s="675"/>
    </row>
    <row r="3" spans="1:9" x14ac:dyDescent="0.25">
      <c r="A3" s="676"/>
      <c r="B3" s="677"/>
      <c r="C3" s="678"/>
      <c r="D3" s="678"/>
      <c r="E3" s="679"/>
      <c r="F3" s="679"/>
      <c r="G3" s="679"/>
      <c r="H3" s="679"/>
      <c r="I3" s="680"/>
    </row>
    <row r="4" spans="1:9" ht="25.5" x14ac:dyDescent="0.25">
      <c r="A4" s="681" t="s">
        <v>1516</v>
      </c>
      <c r="B4" s="778" t="s">
        <v>1517</v>
      </c>
      <c r="C4" s="779"/>
      <c r="D4" s="683" t="s">
        <v>1518</v>
      </c>
      <c r="E4" s="684" t="s">
        <v>1519</v>
      </c>
      <c r="F4" s="684" t="s">
        <v>1520</v>
      </c>
      <c r="G4" s="682" t="s">
        <v>1521</v>
      </c>
      <c r="H4" s="682" t="s">
        <v>1522</v>
      </c>
      <c r="I4" s="685" t="s">
        <v>718</v>
      </c>
    </row>
    <row r="5" spans="1:9" x14ac:dyDescent="0.25">
      <c r="A5" s="686">
        <v>1</v>
      </c>
      <c r="B5" s="780" t="s">
        <v>1523</v>
      </c>
      <c r="C5" s="781"/>
      <c r="D5" s="158" t="s">
        <v>1524</v>
      </c>
      <c r="E5" s="49">
        <v>1</v>
      </c>
      <c r="F5" s="50">
        <v>0</v>
      </c>
      <c r="G5" s="51">
        <f>Table_1_UK!H22</f>
        <v>191610</v>
      </c>
      <c r="H5" s="51">
        <f>Table_1_UK!H12</f>
        <v>1125321</v>
      </c>
      <c r="I5" s="52">
        <f>ROUND(IF(H5=0,0,(100*G5)/H5),2)</f>
        <v>17.03</v>
      </c>
    </row>
    <row r="6" spans="1:9" x14ac:dyDescent="0.25">
      <c r="A6" s="687">
        <v>2</v>
      </c>
      <c r="B6" s="774" t="s">
        <v>1525</v>
      </c>
      <c r="C6" s="775"/>
      <c r="D6" s="159" t="s">
        <v>1526</v>
      </c>
      <c r="E6" s="49">
        <v>2</v>
      </c>
      <c r="F6" s="53">
        <v>0</v>
      </c>
      <c r="G6" s="54">
        <f>Table_1_UK!H15</f>
        <v>468944</v>
      </c>
      <c r="H6" s="54">
        <f>Table_1_UK!H12</f>
        <v>1125321</v>
      </c>
      <c r="I6" s="52">
        <f>ROUND(IF(H6=0,0,(100*G6)/H6),2)</f>
        <v>41.67</v>
      </c>
    </row>
    <row r="7" spans="1:9" x14ac:dyDescent="0.25">
      <c r="A7" s="687">
        <v>3</v>
      </c>
      <c r="B7" s="776" t="s">
        <v>1527</v>
      </c>
      <c r="C7" s="782"/>
      <c r="D7" s="160" t="s">
        <v>1528</v>
      </c>
      <c r="E7" s="49">
        <v>3</v>
      </c>
      <c r="F7" s="53">
        <v>0</v>
      </c>
      <c r="G7" s="54">
        <f>Table_7_UK!L68</f>
        <v>48743</v>
      </c>
      <c r="H7" s="54">
        <f>Table_1_UK!H20</f>
        <v>933711</v>
      </c>
      <c r="I7" s="52">
        <f>ROUND(IF(H7=0,0,(100*G7)/H7),2)</f>
        <v>5.22</v>
      </c>
    </row>
    <row r="8" spans="1:9" x14ac:dyDescent="0.25">
      <c r="A8" s="687">
        <v>4</v>
      </c>
      <c r="B8" s="774" t="s">
        <v>1529</v>
      </c>
      <c r="C8" s="775"/>
      <c r="D8" s="159" t="s">
        <v>1530</v>
      </c>
      <c r="E8" s="49">
        <v>4</v>
      </c>
      <c r="F8" s="53">
        <v>0</v>
      </c>
      <c r="G8" s="180">
        <f>Table_2_UK!H64+Table_2_UK!H65</f>
        <v>1661732</v>
      </c>
      <c r="H8" s="54">
        <f>Table_1_UK!H12</f>
        <v>1125321</v>
      </c>
      <c r="I8" s="52">
        <f>ROUND(IF(H8=0,0,(100*G8)/H8),2)</f>
        <v>147.66999999999999</v>
      </c>
    </row>
    <row r="9" spans="1:9" ht="41.45" customHeight="1" x14ac:dyDescent="0.25">
      <c r="A9" s="687">
        <v>5</v>
      </c>
      <c r="B9" s="774" t="s">
        <v>1531</v>
      </c>
      <c r="C9" s="775"/>
      <c r="D9" s="159" t="s">
        <v>1532</v>
      </c>
      <c r="E9" s="55">
        <v>5</v>
      </c>
      <c r="F9" s="56">
        <v>0</v>
      </c>
      <c r="G9" s="180">
        <f>Table_2_UK!H29+Table_2_UK!H30+Table_2_UK!H31+Table_2_UK!H34+Table_2_UK!H35+Table_2_Scotland!H24+Table_2_UK!H46+Table_2_UK!H47+Table_2_UK!H48+Table_2_UK!H49+Table_2_Scotland!H28</f>
        <v>604650</v>
      </c>
      <c r="H9" s="57">
        <f>Table_1_UK!H12</f>
        <v>1125321</v>
      </c>
      <c r="I9" s="52">
        <f>ROUND(IF(H9=0,0,(100*G9)/H9),2)</f>
        <v>53.73</v>
      </c>
    </row>
    <row r="10" spans="1:9" x14ac:dyDescent="0.25">
      <c r="A10" s="687">
        <v>6</v>
      </c>
      <c r="B10" s="776" t="s">
        <v>1533</v>
      </c>
      <c r="C10" s="777"/>
      <c r="D10" s="161" t="s">
        <v>1534</v>
      </c>
      <c r="E10" s="55">
        <v>6</v>
      </c>
      <c r="F10" s="56">
        <v>0</v>
      </c>
      <c r="G10" s="57">
        <f>Table_2_UK!H58</f>
        <v>2204368</v>
      </c>
      <c r="H10" s="57">
        <f>Table_1_UK!H20</f>
        <v>933711</v>
      </c>
      <c r="I10" s="52">
        <f>ROUND(IF(H10=0,0,(365*G10)/H10),1)</f>
        <v>861.7</v>
      </c>
    </row>
    <row r="11" spans="1:9" x14ac:dyDescent="0.25">
      <c r="A11" s="687">
        <v>7</v>
      </c>
      <c r="B11" s="776" t="s">
        <v>1535</v>
      </c>
      <c r="C11" s="777"/>
      <c r="D11" s="162" t="s">
        <v>1536</v>
      </c>
      <c r="E11" s="55">
        <v>7</v>
      </c>
      <c r="F11" s="56">
        <v>0</v>
      </c>
      <c r="G11" s="57">
        <f>Table_2_UK!H26</f>
        <v>877546</v>
      </c>
      <c r="H11" s="57">
        <f>Table_2_UK!H37</f>
        <v>353675</v>
      </c>
      <c r="I11" s="58">
        <f>ROUND(IF(H11=0,0,G11/H11),2)</f>
        <v>2.48</v>
      </c>
    </row>
    <row r="12" spans="1:9" ht="32.25" customHeight="1" x14ac:dyDescent="0.25">
      <c r="A12" s="687">
        <v>8</v>
      </c>
      <c r="B12" s="774" t="s">
        <v>1537</v>
      </c>
      <c r="C12" s="775"/>
      <c r="D12" s="159" t="s">
        <v>1538</v>
      </c>
      <c r="E12" s="55">
        <v>8</v>
      </c>
      <c r="F12" s="56">
        <v>0</v>
      </c>
      <c r="G12" s="57">
        <f>Table_3_UK!H35</f>
        <v>40803</v>
      </c>
      <c r="H12" s="57">
        <f>Table_1_UK!H12</f>
        <v>1125321</v>
      </c>
      <c r="I12" s="52">
        <f>ROUND(IF(H12=0,0,(100*G12)/H12),2)</f>
        <v>3.63</v>
      </c>
    </row>
    <row r="13" spans="1:9" ht="27.95" customHeight="1" thickBot="1" x14ac:dyDescent="0.3">
      <c r="A13" s="687">
        <v>9</v>
      </c>
      <c r="B13" s="774" t="s">
        <v>1539</v>
      </c>
      <c r="C13" s="775"/>
      <c r="D13" s="159" t="s">
        <v>1540</v>
      </c>
      <c r="E13" s="55">
        <v>9</v>
      </c>
      <c r="F13" s="56">
        <v>0</v>
      </c>
      <c r="G13" s="57">
        <f>Table_2_UK!H21+Table_2_UK!H22-Table_2_UK!H29</f>
        <v>695985</v>
      </c>
      <c r="H13" s="57">
        <f>Table_1_UK!H20-Table_1_UK!H18</f>
        <v>872781</v>
      </c>
      <c r="I13" s="52">
        <f>ROUND(IF(H13=0,0,(365*G13)/H13),2)</f>
        <v>291.06</v>
      </c>
    </row>
    <row r="14" spans="1:9" x14ac:dyDescent="0.25">
      <c r="A14" s="688"/>
      <c r="B14" s="688"/>
      <c r="C14" s="688"/>
      <c r="D14" s="59"/>
      <c r="E14" s="59"/>
      <c r="F14" s="59"/>
      <c r="G14" s="59"/>
      <c r="H14" s="59"/>
      <c r="I14" s="59"/>
    </row>
    <row r="15" spans="1:9" x14ac:dyDescent="0.25">
      <c r="A15" s="689"/>
      <c r="B15" s="689"/>
      <c r="C15" s="689"/>
      <c r="D15" s="60"/>
      <c r="E15" s="60"/>
      <c r="F15" s="60"/>
      <c r="G15" s="60"/>
      <c r="H15" s="60"/>
      <c r="I15" s="60"/>
    </row>
    <row r="16" spans="1:9" x14ac:dyDescent="0.25">
      <c r="A16" s="689"/>
      <c r="B16" s="689"/>
      <c r="C16" s="689"/>
      <c r="D16" s="689"/>
      <c r="E16" s="690"/>
      <c r="F16" s="690"/>
    </row>
    <row r="17" spans="1:4" x14ac:dyDescent="0.25">
      <c r="A17" s="689"/>
      <c r="C17" s="689"/>
      <c r="D17" s="689"/>
    </row>
    <row r="18" spans="1:4" x14ac:dyDescent="0.25">
      <c r="C18" s="689"/>
      <c r="D18" s="689"/>
    </row>
    <row r="19" spans="1:4" x14ac:dyDescent="0.25">
      <c r="C19" s="689"/>
      <c r="D19" s="689"/>
    </row>
  </sheetData>
  <sheetProtection algorithmName="SHA-512" hashValue="xnzH7S8IS9Z4qGmCBFcW+yUjDE26QjTTgEbe5IDr+kPro3DQ6UvdKszBcbcc+vzitF+zzGWrhNVrV7KnVAAkqw==" saltValue="UE7UmEAAPVF9Ha0Uaspt6Q==" spinCount="100000" sheet="1" objects="1"/>
  <mergeCells count="10">
    <mergeCell ref="B4:C4"/>
    <mergeCell ref="B5:C5"/>
    <mergeCell ref="B6:C6"/>
    <mergeCell ref="B7:C7"/>
    <mergeCell ref="B8:C8"/>
    <mergeCell ref="B9:C9"/>
    <mergeCell ref="B10:C10"/>
    <mergeCell ref="B11:C11"/>
    <mergeCell ref="B12:C12"/>
    <mergeCell ref="B13:C13"/>
  </mergeCells>
  <printOptions headings="1" gridLines="1"/>
  <pageMargins left="0.31496062992125984" right="0.31496062992125984" top="0.74803149606299213" bottom="0.74803149606299213" header="0.31496062992125984" footer="0.31496062992125984"/>
  <pageSetup paperSize="9" orientation="landscape" r:id="rId1"/>
  <ignoredErrors>
    <ignoredError sqref="H13:I13 H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E157"/>
  <sheetViews>
    <sheetView zoomScale="80" zoomScaleNormal="80" workbookViewId="0">
      <pane ySplit="3" topLeftCell="A4" activePane="bottomLeft" state="frozenSplit"/>
      <selection activeCell="C28" sqref="C28"/>
      <selection pane="bottomLeft" activeCell="C28" sqref="C28"/>
    </sheetView>
  </sheetViews>
  <sheetFormatPr defaultColWidth="9.28515625" defaultRowHeight="14.25" x14ac:dyDescent="0.2"/>
  <cols>
    <col min="1" max="1" width="12.28515625" style="83" bestFit="1" customWidth="1"/>
    <col min="2" max="2" width="29.85546875" style="83" bestFit="1" customWidth="1"/>
    <col min="3" max="3" width="65.7109375" style="173" bestFit="1" customWidth="1"/>
    <col min="4" max="4" width="176.85546875" style="174" customWidth="1"/>
    <col min="5" max="5" width="29.140625" style="100" bestFit="1" customWidth="1"/>
    <col min="6" max="6" width="9.28515625" style="72" customWidth="1"/>
    <col min="7" max="16384" width="9.28515625" style="72"/>
  </cols>
  <sheetData>
    <row r="1" spans="1:4" customFormat="1" ht="14.1" customHeight="1" x14ac:dyDescent="0.25">
      <c r="A1" s="692" t="s">
        <v>121</v>
      </c>
      <c r="B1" s="692"/>
      <c r="C1" s="692"/>
      <c r="D1" s="692"/>
    </row>
    <row r="3" spans="1:4" customFormat="1" ht="14.1" customHeight="1" x14ac:dyDescent="0.25">
      <c r="A3" s="84" t="s">
        <v>122</v>
      </c>
      <c r="B3" s="84" t="s">
        <v>123</v>
      </c>
      <c r="C3" s="172" t="s">
        <v>124</v>
      </c>
      <c r="D3" s="172" t="s">
        <v>125</v>
      </c>
    </row>
    <row r="4" spans="1:4" x14ac:dyDescent="0.2">
      <c r="A4" s="88">
        <v>43944</v>
      </c>
      <c r="B4" s="83" t="s">
        <v>126</v>
      </c>
      <c r="D4" s="174" t="s">
        <v>127</v>
      </c>
    </row>
    <row r="5" spans="1:4" x14ac:dyDescent="0.2">
      <c r="A5" s="88">
        <v>43945</v>
      </c>
      <c r="B5" s="83" t="s">
        <v>128</v>
      </c>
      <c r="D5" s="174" t="s">
        <v>129</v>
      </c>
    </row>
    <row r="6" spans="1:4" x14ac:dyDescent="0.2">
      <c r="A6" s="88">
        <v>43962</v>
      </c>
      <c r="B6" s="83" t="s">
        <v>130</v>
      </c>
      <c r="C6" s="173" t="s">
        <v>131</v>
      </c>
      <c r="D6" s="174" t="s">
        <v>132</v>
      </c>
    </row>
    <row r="7" spans="1:4" x14ac:dyDescent="0.2">
      <c r="A7" s="88">
        <v>43962</v>
      </c>
      <c r="B7" s="83" t="s">
        <v>130</v>
      </c>
      <c r="C7" s="173" t="s">
        <v>131</v>
      </c>
      <c r="D7" s="174" t="s">
        <v>133</v>
      </c>
    </row>
    <row r="8" spans="1:4" x14ac:dyDescent="0.2">
      <c r="A8" s="88"/>
    </row>
    <row r="9" spans="1:4" customFormat="1" ht="14.1" customHeight="1" x14ac:dyDescent="0.25">
      <c r="A9" s="88"/>
      <c r="B9" s="84" t="s">
        <v>31</v>
      </c>
    </row>
    <row r="10" spans="1:4" x14ac:dyDescent="0.2">
      <c r="A10" s="88">
        <v>43972</v>
      </c>
      <c r="B10" s="83" t="s">
        <v>22</v>
      </c>
      <c r="C10" s="173" t="s">
        <v>134</v>
      </c>
      <c r="D10" s="174" t="s">
        <v>135</v>
      </c>
    </row>
    <row r="11" spans="1:4" x14ac:dyDescent="0.2">
      <c r="A11" s="88">
        <v>43972</v>
      </c>
      <c r="B11" s="83" t="s">
        <v>22</v>
      </c>
      <c r="C11" s="173" t="s">
        <v>136</v>
      </c>
      <c r="D11" s="174" t="s">
        <v>137</v>
      </c>
    </row>
    <row r="12" spans="1:4" x14ac:dyDescent="0.2">
      <c r="A12" s="88">
        <v>43972</v>
      </c>
      <c r="B12" s="83" t="s">
        <v>22</v>
      </c>
      <c r="C12" s="173" t="s">
        <v>138</v>
      </c>
      <c r="D12" s="174" t="s">
        <v>139</v>
      </c>
    </row>
    <row r="13" spans="1:4" x14ac:dyDescent="0.2">
      <c r="A13" s="88">
        <v>43972</v>
      </c>
      <c r="B13" s="83" t="s">
        <v>25</v>
      </c>
      <c r="C13" s="173" t="s">
        <v>140</v>
      </c>
      <c r="D13" s="174" t="s">
        <v>141</v>
      </c>
    </row>
    <row r="14" spans="1:4" x14ac:dyDescent="0.2">
      <c r="A14" s="88">
        <v>43972</v>
      </c>
      <c r="B14" s="83" t="s">
        <v>25</v>
      </c>
      <c r="C14" s="173" t="s">
        <v>142</v>
      </c>
      <c r="D14" s="174" t="s">
        <v>143</v>
      </c>
    </row>
    <row r="15" spans="1:4" x14ac:dyDescent="0.2">
      <c r="A15" s="88">
        <v>43972</v>
      </c>
      <c r="B15" s="83" t="s">
        <v>27</v>
      </c>
      <c r="C15" s="173" t="s">
        <v>144</v>
      </c>
      <c r="D15" s="174" t="s">
        <v>145</v>
      </c>
    </row>
    <row r="16" spans="1:4" x14ac:dyDescent="0.2">
      <c r="A16" s="88">
        <v>44005</v>
      </c>
      <c r="B16" s="83" t="s">
        <v>146</v>
      </c>
      <c r="C16" s="173" t="s">
        <v>147</v>
      </c>
      <c r="D16" s="174" t="s">
        <v>148</v>
      </c>
    </row>
    <row r="17" spans="1:4" x14ac:dyDescent="0.2">
      <c r="A17" s="181">
        <v>44001</v>
      </c>
      <c r="B17" s="182" t="s">
        <v>146</v>
      </c>
      <c r="C17" s="183" t="s">
        <v>149</v>
      </c>
      <c r="D17" s="184" t="s">
        <v>150</v>
      </c>
    </row>
    <row r="18" spans="1:4" x14ac:dyDescent="0.2">
      <c r="A18" s="181">
        <v>44006</v>
      </c>
      <c r="B18" s="182" t="s">
        <v>146</v>
      </c>
      <c r="C18" s="183" t="s">
        <v>151</v>
      </c>
      <c r="D18" s="184" t="s">
        <v>150</v>
      </c>
    </row>
    <row r="19" spans="1:4" x14ac:dyDescent="0.2">
      <c r="A19" s="88"/>
    </row>
    <row r="20" spans="1:4" customFormat="1" ht="14.1" customHeight="1" x14ac:dyDescent="0.25">
      <c r="A20" s="88"/>
      <c r="B20" s="84" t="s">
        <v>152</v>
      </c>
    </row>
    <row r="21" spans="1:4" x14ac:dyDescent="0.2">
      <c r="A21" s="88">
        <v>43972</v>
      </c>
      <c r="B21" s="83" t="s">
        <v>25</v>
      </c>
      <c r="C21" s="173" t="s">
        <v>153</v>
      </c>
      <c r="D21" s="174" t="s">
        <v>154</v>
      </c>
    </row>
    <row r="22" spans="1:4" x14ac:dyDescent="0.2">
      <c r="A22" s="88">
        <v>44001</v>
      </c>
      <c r="B22" s="83" t="s">
        <v>26</v>
      </c>
      <c r="C22" s="173" t="s">
        <v>155</v>
      </c>
      <c r="D22" s="174" t="s">
        <v>156</v>
      </c>
    </row>
    <row r="23" spans="1:4" x14ac:dyDescent="0.2">
      <c r="A23" s="88">
        <v>44006</v>
      </c>
      <c r="B23" s="83" t="s">
        <v>27</v>
      </c>
      <c r="C23" s="173" t="s">
        <v>157</v>
      </c>
      <c r="D23" s="174" t="s">
        <v>158</v>
      </c>
    </row>
    <row r="24" spans="1:4" x14ac:dyDescent="0.2">
      <c r="A24" s="88">
        <v>44007</v>
      </c>
      <c r="B24" s="83" t="s">
        <v>41</v>
      </c>
      <c r="C24" s="173" t="s">
        <v>159</v>
      </c>
      <c r="D24" s="174" t="s">
        <v>160</v>
      </c>
    </row>
    <row r="25" spans="1:4" x14ac:dyDescent="0.2">
      <c r="A25" s="88">
        <v>44007</v>
      </c>
      <c r="B25" s="83" t="s">
        <v>41</v>
      </c>
      <c r="C25" s="173" t="s">
        <v>161</v>
      </c>
      <c r="D25" s="174" t="s">
        <v>162</v>
      </c>
    </row>
    <row r="26" spans="1:4" x14ac:dyDescent="0.2">
      <c r="A26" s="88">
        <v>44007</v>
      </c>
      <c r="B26" s="83" t="s">
        <v>27</v>
      </c>
      <c r="C26" s="173" t="s">
        <v>163</v>
      </c>
      <c r="D26" s="174" t="s">
        <v>164</v>
      </c>
    </row>
    <row r="27" spans="1:4" x14ac:dyDescent="0.2">
      <c r="A27" s="88">
        <v>44018</v>
      </c>
      <c r="B27" s="83" t="s">
        <v>146</v>
      </c>
      <c r="C27" s="173" t="s">
        <v>165</v>
      </c>
      <c r="D27" s="174" t="s">
        <v>166</v>
      </c>
    </row>
    <row r="28" spans="1:4" customFormat="1" ht="15" x14ac:dyDescent="0.25">
      <c r="A28" s="88">
        <v>44020</v>
      </c>
      <c r="B28" s="83" t="s">
        <v>146</v>
      </c>
      <c r="C28" s="173" t="s">
        <v>167</v>
      </c>
      <c r="D28" s="174" t="s">
        <v>168</v>
      </c>
    </row>
    <row r="29" spans="1:4" x14ac:dyDescent="0.2">
      <c r="A29" s="88">
        <v>44021</v>
      </c>
      <c r="B29" s="83" t="s">
        <v>146</v>
      </c>
      <c r="C29" s="173" t="s">
        <v>169</v>
      </c>
      <c r="D29" s="174" t="s">
        <v>168</v>
      </c>
    </row>
    <row r="30" spans="1:4" x14ac:dyDescent="0.2">
      <c r="A30" s="88">
        <v>44021</v>
      </c>
      <c r="B30" s="83" t="s">
        <v>27</v>
      </c>
      <c r="C30" s="173" t="s">
        <v>170</v>
      </c>
      <c r="D30" s="174" t="s">
        <v>171</v>
      </c>
    </row>
    <row r="31" spans="1:4" x14ac:dyDescent="0.2">
      <c r="A31" s="88">
        <v>44021</v>
      </c>
      <c r="B31" s="83" t="s">
        <v>172</v>
      </c>
      <c r="C31" s="173" t="s">
        <v>173</v>
      </c>
      <c r="D31" s="174" t="s">
        <v>174</v>
      </c>
    </row>
    <row r="32" spans="1:4" x14ac:dyDescent="0.2">
      <c r="A32" s="88">
        <v>44021</v>
      </c>
      <c r="B32" s="83" t="s">
        <v>175</v>
      </c>
      <c r="C32" s="173" t="s">
        <v>176</v>
      </c>
      <c r="D32" s="174" t="s">
        <v>177</v>
      </c>
    </row>
    <row r="33" spans="1:4" x14ac:dyDescent="0.2">
      <c r="A33" s="88">
        <v>44042</v>
      </c>
      <c r="B33" s="83" t="s">
        <v>23</v>
      </c>
      <c r="C33" s="173" t="s">
        <v>178</v>
      </c>
      <c r="D33" s="174" t="s">
        <v>179</v>
      </c>
    </row>
    <row r="34" spans="1:4" x14ac:dyDescent="0.2">
      <c r="A34" s="88">
        <v>44042</v>
      </c>
      <c r="B34" s="83" t="s">
        <v>23</v>
      </c>
      <c r="C34" s="173" t="s">
        <v>180</v>
      </c>
      <c r="D34" s="174" t="s">
        <v>181</v>
      </c>
    </row>
    <row r="35" spans="1:4" customFormat="1" ht="27.6" customHeight="1" x14ac:dyDescent="0.25">
      <c r="A35" s="88">
        <v>44042</v>
      </c>
      <c r="B35" s="83" t="s">
        <v>29</v>
      </c>
      <c r="C35" s="173" t="s">
        <v>178</v>
      </c>
      <c r="D35" s="174" t="s">
        <v>182</v>
      </c>
    </row>
    <row r="36" spans="1:4" x14ac:dyDescent="0.2">
      <c r="A36" s="88">
        <v>44055</v>
      </c>
      <c r="B36" s="83" t="s">
        <v>172</v>
      </c>
      <c r="C36" s="173" t="s">
        <v>183</v>
      </c>
      <c r="D36" s="174" t="s">
        <v>184</v>
      </c>
    </row>
    <row r="37" spans="1:4" x14ac:dyDescent="0.2">
      <c r="A37" s="88">
        <v>44055</v>
      </c>
      <c r="B37" s="83" t="s">
        <v>22</v>
      </c>
      <c r="C37" s="173" t="s">
        <v>185</v>
      </c>
      <c r="D37" s="174" t="s">
        <v>186</v>
      </c>
    </row>
    <row r="38" spans="1:4" x14ac:dyDescent="0.2">
      <c r="A38" s="88">
        <v>44055</v>
      </c>
      <c r="B38" s="83" t="s">
        <v>22</v>
      </c>
      <c r="C38" s="173" t="s">
        <v>187</v>
      </c>
      <c r="D38" s="174" t="s">
        <v>188</v>
      </c>
    </row>
    <row r="39" spans="1:4" x14ac:dyDescent="0.2">
      <c r="A39" s="88">
        <v>44055</v>
      </c>
      <c r="B39" s="83" t="s">
        <v>22</v>
      </c>
      <c r="C39" s="173" t="s">
        <v>189</v>
      </c>
      <c r="D39" s="174" t="s">
        <v>190</v>
      </c>
    </row>
    <row r="40" spans="1:4" x14ac:dyDescent="0.2">
      <c r="A40" s="88">
        <v>44055</v>
      </c>
      <c r="B40" s="83" t="s">
        <v>191</v>
      </c>
      <c r="C40" s="173" t="s">
        <v>192</v>
      </c>
      <c r="D40" s="174" t="s">
        <v>193</v>
      </c>
    </row>
    <row r="41" spans="1:4" x14ac:dyDescent="0.2">
      <c r="A41" s="88">
        <v>44055</v>
      </c>
      <c r="B41" s="83" t="s">
        <v>23</v>
      </c>
      <c r="C41" s="173" t="s">
        <v>178</v>
      </c>
      <c r="D41" s="174" t="s">
        <v>194</v>
      </c>
    </row>
    <row r="42" spans="1:4" x14ac:dyDescent="0.2">
      <c r="A42" s="88">
        <v>44055</v>
      </c>
      <c r="B42" s="83" t="s">
        <v>23</v>
      </c>
      <c r="C42" s="173" t="s">
        <v>157</v>
      </c>
      <c r="D42" s="174" t="s">
        <v>195</v>
      </c>
    </row>
    <row r="43" spans="1:4" x14ac:dyDescent="0.2">
      <c r="A43" s="88">
        <v>44055</v>
      </c>
      <c r="B43" s="83" t="s">
        <v>25</v>
      </c>
      <c r="C43" s="173" t="s">
        <v>196</v>
      </c>
      <c r="D43" s="174" t="s">
        <v>197</v>
      </c>
    </row>
    <row r="44" spans="1:4" x14ac:dyDescent="0.2">
      <c r="A44" s="88">
        <v>44055</v>
      </c>
      <c r="B44" s="83" t="s">
        <v>25</v>
      </c>
      <c r="C44" s="173" t="s">
        <v>198</v>
      </c>
      <c r="D44" s="174" t="s">
        <v>199</v>
      </c>
    </row>
    <row r="45" spans="1:4" x14ac:dyDescent="0.2">
      <c r="A45" s="88">
        <v>44055</v>
      </c>
      <c r="B45" s="83" t="s">
        <v>25</v>
      </c>
      <c r="C45" s="173" t="s">
        <v>200</v>
      </c>
      <c r="D45" s="174" t="s">
        <v>201</v>
      </c>
    </row>
    <row r="46" spans="1:4" x14ac:dyDescent="0.2">
      <c r="A46" s="88">
        <v>44055</v>
      </c>
      <c r="B46" s="83" t="s">
        <v>25</v>
      </c>
      <c r="C46" s="173" t="s">
        <v>202</v>
      </c>
      <c r="D46" s="174" t="s">
        <v>203</v>
      </c>
    </row>
    <row r="47" spans="1:4" x14ac:dyDescent="0.2">
      <c r="A47" s="88">
        <v>44055</v>
      </c>
      <c r="B47" s="83" t="s">
        <v>34</v>
      </c>
      <c r="C47" s="173" t="s">
        <v>204</v>
      </c>
      <c r="D47" s="174" t="s">
        <v>205</v>
      </c>
    </row>
    <row r="48" spans="1:4" x14ac:dyDescent="0.2">
      <c r="A48" s="88">
        <v>44055</v>
      </c>
      <c r="B48" s="83" t="s">
        <v>27</v>
      </c>
      <c r="C48" s="173" t="s">
        <v>206</v>
      </c>
      <c r="D48" s="174" t="s">
        <v>207</v>
      </c>
    </row>
    <row r="49" spans="1:5" x14ac:dyDescent="0.2">
      <c r="A49" s="88">
        <v>44055</v>
      </c>
      <c r="B49" s="83" t="s">
        <v>27</v>
      </c>
      <c r="C49" s="173" t="s">
        <v>208</v>
      </c>
      <c r="D49" s="174" t="s">
        <v>209</v>
      </c>
    </row>
    <row r="50" spans="1:5" x14ac:dyDescent="0.2">
      <c r="A50" s="88">
        <v>44055</v>
      </c>
      <c r="B50" s="83" t="s">
        <v>27</v>
      </c>
      <c r="C50" s="173" t="s">
        <v>210</v>
      </c>
      <c r="D50" s="174" t="s">
        <v>211</v>
      </c>
    </row>
    <row r="51" spans="1:5" x14ac:dyDescent="0.2">
      <c r="A51" s="88">
        <v>44055</v>
      </c>
      <c r="B51" s="83" t="s">
        <v>38</v>
      </c>
      <c r="C51" s="173" t="s">
        <v>212</v>
      </c>
      <c r="D51" s="174" t="s">
        <v>213</v>
      </c>
    </row>
    <row r="52" spans="1:5" x14ac:dyDescent="0.2">
      <c r="A52" s="88">
        <v>44055</v>
      </c>
      <c r="B52" s="83" t="s">
        <v>28</v>
      </c>
      <c r="C52" s="173" t="s">
        <v>214</v>
      </c>
      <c r="D52" s="174" t="s">
        <v>215</v>
      </c>
    </row>
    <row r="53" spans="1:5" x14ac:dyDescent="0.2">
      <c r="A53" s="88">
        <v>44055</v>
      </c>
      <c r="B53" s="83" t="s">
        <v>28</v>
      </c>
      <c r="C53" s="173" t="s">
        <v>216</v>
      </c>
      <c r="D53" s="174" t="s">
        <v>190</v>
      </c>
    </row>
    <row r="54" spans="1:5" x14ac:dyDescent="0.2">
      <c r="A54" s="88">
        <v>44055</v>
      </c>
      <c r="B54" s="83" t="s">
        <v>29</v>
      </c>
      <c r="C54" s="173" t="s">
        <v>217</v>
      </c>
      <c r="D54" s="174" t="s">
        <v>218</v>
      </c>
    </row>
    <row r="55" spans="1:5" x14ac:dyDescent="0.2">
      <c r="A55" s="88">
        <v>44055</v>
      </c>
      <c r="B55" s="83" t="s">
        <v>29</v>
      </c>
      <c r="C55" s="173" t="s">
        <v>219</v>
      </c>
      <c r="D55" s="174" t="s">
        <v>220</v>
      </c>
    </row>
    <row r="56" spans="1:5" x14ac:dyDescent="0.2">
      <c r="A56" s="88">
        <v>44055</v>
      </c>
      <c r="B56" s="83" t="s">
        <v>41</v>
      </c>
      <c r="C56" s="173" t="s">
        <v>178</v>
      </c>
      <c r="D56" s="174" t="s">
        <v>201</v>
      </c>
    </row>
    <row r="57" spans="1:5" x14ac:dyDescent="0.2">
      <c r="A57" s="88">
        <v>44055</v>
      </c>
      <c r="B57" s="83" t="s">
        <v>41</v>
      </c>
      <c r="C57" s="173" t="s">
        <v>219</v>
      </c>
      <c r="D57" s="174" t="s">
        <v>221</v>
      </c>
    </row>
    <row r="58" spans="1:5" x14ac:dyDescent="0.2">
      <c r="A58" s="88">
        <v>44061</v>
      </c>
      <c r="B58" s="83" t="s">
        <v>222</v>
      </c>
      <c r="C58" s="173" t="s">
        <v>223</v>
      </c>
      <c r="D58" s="174" t="s">
        <v>224</v>
      </c>
    </row>
    <row r="59" spans="1:5" x14ac:dyDescent="0.2">
      <c r="A59" s="88">
        <v>44061</v>
      </c>
      <c r="B59" s="83" t="s">
        <v>22</v>
      </c>
      <c r="C59" s="173" t="s">
        <v>225</v>
      </c>
      <c r="D59" s="174" t="s">
        <v>226</v>
      </c>
    </row>
    <row r="60" spans="1:5" x14ac:dyDescent="0.2">
      <c r="A60" s="88">
        <v>44064</v>
      </c>
      <c r="B60" s="83" t="s">
        <v>227</v>
      </c>
      <c r="D60" s="174" t="s">
        <v>228</v>
      </c>
    </row>
    <row r="61" spans="1:5" x14ac:dyDescent="0.2">
      <c r="A61" s="88">
        <v>44064</v>
      </c>
      <c r="B61" s="83" t="s">
        <v>23</v>
      </c>
      <c r="C61" s="173" t="s">
        <v>229</v>
      </c>
      <c r="D61" s="174" t="s">
        <v>230</v>
      </c>
    </row>
    <row r="62" spans="1:5" x14ac:dyDescent="0.2">
      <c r="A62" s="88">
        <v>44106</v>
      </c>
      <c r="B62" s="83" t="s">
        <v>146</v>
      </c>
      <c r="C62" s="173" t="s">
        <v>231</v>
      </c>
      <c r="D62" s="174" t="s">
        <v>232</v>
      </c>
      <c r="E62" s="100" t="s">
        <v>233</v>
      </c>
    </row>
    <row r="63" spans="1:5" x14ac:dyDescent="0.2">
      <c r="A63" s="88">
        <v>44123</v>
      </c>
      <c r="B63" s="83" t="s">
        <v>146</v>
      </c>
      <c r="C63" s="173" t="s">
        <v>234</v>
      </c>
      <c r="D63" s="174" t="s">
        <v>235</v>
      </c>
    </row>
    <row r="64" spans="1:5" x14ac:dyDescent="0.2">
      <c r="A64" s="88">
        <v>44123</v>
      </c>
      <c r="B64" s="83" t="s">
        <v>146</v>
      </c>
      <c r="C64" s="173" t="s">
        <v>236</v>
      </c>
      <c r="D64" s="174" t="s">
        <v>237</v>
      </c>
    </row>
    <row r="65" spans="1:5" customFormat="1" ht="27.6" customHeight="1" x14ac:dyDescent="0.25">
      <c r="A65" s="88">
        <v>44127</v>
      </c>
      <c r="B65" s="83" t="s">
        <v>101</v>
      </c>
      <c r="C65" s="173" t="s">
        <v>238</v>
      </c>
      <c r="D65" s="174" t="s">
        <v>239</v>
      </c>
    </row>
    <row r="66" spans="1:5" x14ac:dyDescent="0.2">
      <c r="A66" s="88">
        <v>44127</v>
      </c>
      <c r="B66" s="83" t="s">
        <v>146</v>
      </c>
      <c r="C66" s="173" t="s">
        <v>240</v>
      </c>
      <c r="D66" s="174" t="s">
        <v>241</v>
      </c>
    </row>
    <row r="67" spans="1:5" customFormat="1" ht="27.6" customHeight="1" x14ac:dyDescent="0.25">
      <c r="A67" s="88">
        <v>44127</v>
      </c>
      <c r="B67" s="83" t="s">
        <v>146</v>
      </c>
      <c r="C67" s="173" t="s">
        <v>242</v>
      </c>
      <c r="D67" s="174" t="s">
        <v>243</v>
      </c>
    </row>
    <row r="68" spans="1:5" x14ac:dyDescent="0.2">
      <c r="A68" s="88"/>
      <c r="B68" s="83" t="s">
        <v>146</v>
      </c>
      <c r="C68" s="173" t="s">
        <v>244</v>
      </c>
      <c r="D68" s="174" t="s">
        <v>245</v>
      </c>
    </row>
    <row r="69" spans="1:5" x14ac:dyDescent="0.2">
      <c r="A69" s="88"/>
    </row>
    <row r="70" spans="1:5" x14ac:dyDescent="0.2">
      <c r="A70" s="88"/>
    </row>
    <row r="71" spans="1:5" x14ac:dyDescent="0.2">
      <c r="A71" s="88"/>
    </row>
    <row r="72" spans="1:5" customFormat="1" ht="14.1" customHeight="1" x14ac:dyDescent="0.25">
      <c r="A72" s="88"/>
      <c r="B72" s="84" t="s">
        <v>246</v>
      </c>
    </row>
    <row r="73" spans="1:5" x14ac:dyDescent="0.2">
      <c r="A73" s="88">
        <v>44077</v>
      </c>
      <c r="B73" s="83" t="s">
        <v>22</v>
      </c>
      <c r="C73" s="173" t="s">
        <v>225</v>
      </c>
      <c r="D73" s="174" t="s">
        <v>247</v>
      </c>
      <c r="E73" s="100" t="s">
        <v>248</v>
      </c>
    </row>
    <row r="74" spans="1:5" x14ac:dyDescent="0.2">
      <c r="A74" s="88">
        <v>44077</v>
      </c>
      <c r="B74" s="83" t="s">
        <v>249</v>
      </c>
      <c r="C74" s="173" t="s">
        <v>250</v>
      </c>
      <c r="D74" s="174" t="s">
        <v>251</v>
      </c>
      <c r="E74" s="100" t="s">
        <v>252</v>
      </c>
    </row>
    <row r="75" spans="1:5" x14ac:dyDescent="0.2">
      <c r="A75" s="88">
        <v>44077</v>
      </c>
      <c r="B75" s="83" t="s">
        <v>249</v>
      </c>
      <c r="C75" s="173" t="s">
        <v>253</v>
      </c>
      <c r="D75" s="174" t="s">
        <v>254</v>
      </c>
      <c r="E75" s="100" t="s">
        <v>252</v>
      </c>
    </row>
    <row r="76" spans="1:5" x14ac:dyDescent="0.2">
      <c r="A76" s="88">
        <v>44077</v>
      </c>
      <c r="B76" s="83" t="s">
        <v>249</v>
      </c>
      <c r="C76" s="173" t="s">
        <v>255</v>
      </c>
      <c r="D76" s="174" t="s">
        <v>256</v>
      </c>
      <c r="E76" s="100" t="s">
        <v>257</v>
      </c>
    </row>
    <row r="77" spans="1:5" x14ac:dyDescent="0.2">
      <c r="A77" s="88">
        <v>44077</v>
      </c>
      <c r="B77" s="83" t="s">
        <v>22</v>
      </c>
      <c r="C77" s="173" t="s">
        <v>258</v>
      </c>
      <c r="D77" s="174" t="s">
        <v>259</v>
      </c>
      <c r="E77" s="100" t="s">
        <v>260</v>
      </c>
    </row>
    <row r="78" spans="1:5" x14ac:dyDescent="0.2">
      <c r="A78" s="88">
        <v>44077</v>
      </c>
      <c r="B78" s="83" t="s">
        <v>23</v>
      </c>
      <c r="C78" s="173" t="s">
        <v>261</v>
      </c>
      <c r="D78" s="174" t="s">
        <v>262</v>
      </c>
      <c r="E78" s="100" t="s">
        <v>252</v>
      </c>
    </row>
    <row r="79" spans="1:5" x14ac:dyDescent="0.2">
      <c r="A79" s="88">
        <v>44077</v>
      </c>
      <c r="B79" s="83" t="s">
        <v>23</v>
      </c>
      <c r="C79" s="173" t="s">
        <v>250</v>
      </c>
      <c r="D79" s="174" t="s">
        <v>263</v>
      </c>
      <c r="E79" s="100" t="s">
        <v>257</v>
      </c>
    </row>
    <row r="80" spans="1:5" x14ac:dyDescent="0.2">
      <c r="A80" s="88">
        <v>44077</v>
      </c>
      <c r="B80" s="83" t="s">
        <v>23</v>
      </c>
      <c r="C80" s="173" t="s">
        <v>264</v>
      </c>
      <c r="D80" s="174" t="s">
        <v>265</v>
      </c>
      <c r="E80" s="100" t="s">
        <v>266</v>
      </c>
    </row>
    <row r="81" spans="1:5" x14ac:dyDescent="0.2">
      <c r="A81" s="88">
        <v>44077</v>
      </c>
      <c r="B81" s="83" t="s">
        <v>23</v>
      </c>
      <c r="C81" s="173" t="s">
        <v>267</v>
      </c>
      <c r="D81" s="174" t="s">
        <v>268</v>
      </c>
      <c r="E81" s="100" t="s">
        <v>266</v>
      </c>
    </row>
    <row r="82" spans="1:5" x14ac:dyDescent="0.2">
      <c r="A82" s="88">
        <v>44077</v>
      </c>
      <c r="B82" s="83" t="s">
        <v>23</v>
      </c>
      <c r="C82" s="173" t="s">
        <v>269</v>
      </c>
      <c r="D82" s="174" t="s">
        <v>270</v>
      </c>
      <c r="E82" s="100" t="s">
        <v>266</v>
      </c>
    </row>
    <row r="83" spans="1:5" x14ac:dyDescent="0.2">
      <c r="A83" s="88">
        <v>44077</v>
      </c>
      <c r="B83" s="83" t="s">
        <v>23</v>
      </c>
      <c r="C83" s="173" t="s">
        <v>271</v>
      </c>
      <c r="D83" s="174" t="s">
        <v>272</v>
      </c>
      <c r="E83" s="100" t="s">
        <v>252</v>
      </c>
    </row>
    <row r="84" spans="1:5" x14ac:dyDescent="0.2">
      <c r="A84" s="88">
        <v>44077</v>
      </c>
      <c r="B84" s="83" t="s">
        <v>23</v>
      </c>
      <c r="C84" s="173" t="s">
        <v>273</v>
      </c>
      <c r="D84" s="174" t="s">
        <v>274</v>
      </c>
      <c r="E84" s="100" t="s">
        <v>275</v>
      </c>
    </row>
    <row r="85" spans="1:5" x14ac:dyDescent="0.2">
      <c r="A85" s="88">
        <v>44077</v>
      </c>
      <c r="B85" s="83" t="s">
        <v>23</v>
      </c>
      <c r="C85" s="173" t="s">
        <v>276</v>
      </c>
      <c r="D85" s="174" t="s">
        <v>277</v>
      </c>
      <c r="E85" s="100" t="s">
        <v>275</v>
      </c>
    </row>
    <row r="86" spans="1:5" x14ac:dyDescent="0.2">
      <c r="A86" s="88">
        <v>44077</v>
      </c>
      <c r="B86" s="83" t="s">
        <v>25</v>
      </c>
      <c r="C86" s="173" t="s">
        <v>142</v>
      </c>
      <c r="D86" s="174" t="s">
        <v>259</v>
      </c>
      <c r="E86" s="100" t="s">
        <v>260</v>
      </c>
    </row>
    <row r="87" spans="1:5" x14ac:dyDescent="0.2">
      <c r="A87" s="88"/>
      <c r="B87" s="83" t="s">
        <v>25</v>
      </c>
      <c r="C87" s="173" t="s">
        <v>278</v>
      </c>
      <c r="D87" s="174" t="s">
        <v>279</v>
      </c>
      <c r="E87" s="100" t="s">
        <v>257</v>
      </c>
    </row>
    <row r="88" spans="1:5" x14ac:dyDescent="0.2">
      <c r="A88" s="88"/>
      <c r="B88" s="83" t="s">
        <v>25</v>
      </c>
      <c r="C88" s="173" t="s">
        <v>280</v>
      </c>
      <c r="D88" s="174" t="s">
        <v>281</v>
      </c>
      <c r="E88" s="100" t="s">
        <v>257</v>
      </c>
    </row>
    <row r="89" spans="1:5" x14ac:dyDescent="0.2">
      <c r="A89" s="88"/>
      <c r="B89" s="83" t="s">
        <v>25</v>
      </c>
      <c r="C89" s="173" t="s">
        <v>282</v>
      </c>
      <c r="D89" s="174" t="s">
        <v>283</v>
      </c>
      <c r="E89" s="100" t="s">
        <v>257</v>
      </c>
    </row>
    <row r="90" spans="1:5" x14ac:dyDescent="0.2">
      <c r="A90" s="88"/>
      <c r="B90" s="83" t="s">
        <v>25</v>
      </c>
      <c r="C90" s="173" t="s">
        <v>284</v>
      </c>
      <c r="D90" s="174" t="s">
        <v>285</v>
      </c>
      <c r="E90" s="100" t="s">
        <v>257</v>
      </c>
    </row>
    <row r="91" spans="1:5" x14ac:dyDescent="0.2">
      <c r="A91" s="88"/>
      <c r="B91" s="83" t="s">
        <v>25</v>
      </c>
      <c r="C91" s="173" t="s">
        <v>269</v>
      </c>
      <c r="D91" s="174" t="s">
        <v>286</v>
      </c>
    </row>
    <row r="92" spans="1:5" x14ac:dyDescent="0.2">
      <c r="A92" s="88"/>
      <c r="B92" s="83" t="s">
        <v>25</v>
      </c>
      <c r="C92" s="173" t="s">
        <v>287</v>
      </c>
      <c r="D92" s="174" t="s">
        <v>285</v>
      </c>
      <c r="E92" s="100" t="s">
        <v>257</v>
      </c>
    </row>
    <row r="93" spans="1:5" x14ac:dyDescent="0.2">
      <c r="A93" s="88"/>
      <c r="B93" s="83" t="s">
        <v>25</v>
      </c>
      <c r="C93" s="173" t="s">
        <v>288</v>
      </c>
      <c r="D93" s="174" t="s">
        <v>289</v>
      </c>
      <c r="E93" s="100" t="s">
        <v>275</v>
      </c>
    </row>
    <row r="94" spans="1:5" x14ac:dyDescent="0.2">
      <c r="A94" s="88"/>
      <c r="B94" s="83" t="s">
        <v>25</v>
      </c>
      <c r="C94" s="173" t="s">
        <v>290</v>
      </c>
      <c r="D94" s="174" t="s">
        <v>291</v>
      </c>
      <c r="E94" s="100" t="s">
        <v>248</v>
      </c>
    </row>
    <row r="95" spans="1:5" x14ac:dyDescent="0.2">
      <c r="A95" s="88"/>
      <c r="B95" s="83" t="s">
        <v>25</v>
      </c>
      <c r="C95" s="173" t="s">
        <v>292</v>
      </c>
      <c r="D95" s="174" t="s">
        <v>293</v>
      </c>
      <c r="E95" s="100" t="s">
        <v>294</v>
      </c>
    </row>
    <row r="96" spans="1:5" x14ac:dyDescent="0.2">
      <c r="A96" s="88"/>
      <c r="B96" s="83" t="s">
        <v>25</v>
      </c>
      <c r="C96" s="173" t="s">
        <v>295</v>
      </c>
      <c r="D96" s="174" t="s">
        <v>296</v>
      </c>
      <c r="E96" s="100" t="s">
        <v>275</v>
      </c>
    </row>
    <row r="97" spans="1:5" x14ac:dyDescent="0.2">
      <c r="A97" s="88"/>
      <c r="B97" s="83" t="s">
        <v>25</v>
      </c>
      <c r="C97" s="173" t="s">
        <v>297</v>
      </c>
      <c r="D97" s="174" t="s">
        <v>298</v>
      </c>
      <c r="E97" s="100" t="s">
        <v>275</v>
      </c>
    </row>
    <row r="98" spans="1:5" x14ac:dyDescent="0.2">
      <c r="A98" s="88"/>
      <c r="B98" s="83" t="s">
        <v>26</v>
      </c>
      <c r="C98" s="173" t="s">
        <v>204</v>
      </c>
      <c r="D98" s="174" t="s">
        <v>299</v>
      </c>
      <c r="E98" s="100" t="s">
        <v>275</v>
      </c>
    </row>
    <row r="99" spans="1:5" x14ac:dyDescent="0.2">
      <c r="A99" s="88"/>
      <c r="B99" s="83" t="s">
        <v>27</v>
      </c>
      <c r="C99" s="173" t="s">
        <v>300</v>
      </c>
      <c r="D99" s="174" t="s">
        <v>301</v>
      </c>
      <c r="E99" s="100" t="s">
        <v>275</v>
      </c>
    </row>
    <row r="100" spans="1:5" x14ac:dyDescent="0.2">
      <c r="A100" s="88"/>
      <c r="B100" s="83" t="s">
        <v>27</v>
      </c>
      <c r="C100" s="173" t="s">
        <v>302</v>
      </c>
      <c r="D100" s="174" t="s">
        <v>303</v>
      </c>
      <c r="E100" s="100" t="s">
        <v>275</v>
      </c>
    </row>
    <row r="101" spans="1:5" x14ac:dyDescent="0.2">
      <c r="A101" s="88"/>
      <c r="B101" s="83" t="s">
        <v>28</v>
      </c>
      <c r="C101" s="173" t="s">
        <v>304</v>
      </c>
      <c r="D101" s="174" t="s">
        <v>305</v>
      </c>
      <c r="E101" s="100" t="s">
        <v>260</v>
      </c>
    </row>
    <row r="102" spans="1:5" x14ac:dyDescent="0.2">
      <c r="A102" s="88"/>
      <c r="B102" s="83" t="s">
        <v>29</v>
      </c>
      <c r="C102" s="173" t="s">
        <v>306</v>
      </c>
      <c r="D102" s="174" t="s">
        <v>307</v>
      </c>
      <c r="E102" s="100" t="s">
        <v>275</v>
      </c>
    </row>
    <row r="103" spans="1:5" x14ac:dyDescent="0.2">
      <c r="A103" s="88"/>
      <c r="B103" s="83" t="s">
        <v>29</v>
      </c>
      <c r="C103" s="173" t="s">
        <v>308</v>
      </c>
      <c r="D103" s="174" t="s">
        <v>309</v>
      </c>
      <c r="E103" s="100" t="s">
        <v>275</v>
      </c>
    </row>
    <row r="104" spans="1:5" x14ac:dyDescent="0.2">
      <c r="A104" s="88"/>
      <c r="B104" s="83" t="s">
        <v>29</v>
      </c>
      <c r="C104" s="173" t="s">
        <v>310</v>
      </c>
      <c r="D104" s="174" t="s">
        <v>311</v>
      </c>
      <c r="E104" s="100" t="s">
        <v>312</v>
      </c>
    </row>
    <row r="105" spans="1:5" x14ac:dyDescent="0.2">
      <c r="A105" s="88"/>
      <c r="B105" s="83" t="s">
        <v>23</v>
      </c>
      <c r="C105" s="173" t="s">
        <v>313</v>
      </c>
      <c r="D105" s="174" t="s">
        <v>314</v>
      </c>
      <c r="E105" s="100" t="s">
        <v>257</v>
      </c>
    </row>
    <row r="106" spans="1:5" x14ac:dyDescent="0.2">
      <c r="A106" s="88"/>
      <c r="B106" s="83" t="s">
        <v>25</v>
      </c>
      <c r="C106" s="173" t="s">
        <v>264</v>
      </c>
      <c r="D106" s="174" t="s">
        <v>315</v>
      </c>
      <c r="E106" s="100" t="s">
        <v>257</v>
      </c>
    </row>
    <row r="107" spans="1:5" x14ac:dyDescent="0.2">
      <c r="A107" s="88"/>
      <c r="B107" s="83" t="s">
        <v>41</v>
      </c>
      <c r="C107" s="173" t="s">
        <v>316</v>
      </c>
      <c r="D107" s="174" t="s">
        <v>317</v>
      </c>
      <c r="E107" s="100" t="s">
        <v>257</v>
      </c>
    </row>
    <row r="108" spans="1:5" x14ac:dyDescent="0.2">
      <c r="A108" s="88"/>
      <c r="B108" s="83" t="s">
        <v>41</v>
      </c>
      <c r="C108" s="173" t="s">
        <v>318</v>
      </c>
      <c r="D108" s="174" t="s">
        <v>283</v>
      </c>
      <c r="E108" s="100" t="s">
        <v>257</v>
      </c>
    </row>
    <row r="109" spans="1:5" x14ac:dyDescent="0.2">
      <c r="A109" s="88"/>
      <c r="B109" s="83" t="s">
        <v>41</v>
      </c>
      <c r="C109" s="173" t="s">
        <v>319</v>
      </c>
      <c r="D109" s="174" t="s">
        <v>320</v>
      </c>
      <c r="E109" s="100" t="s">
        <v>257</v>
      </c>
    </row>
    <row r="110" spans="1:5" x14ac:dyDescent="0.2">
      <c r="A110" s="88"/>
      <c r="B110" s="83" t="s">
        <v>41</v>
      </c>
      <c r="C110" s="173" t="s">
        <v>204</v>
      </c>
      <c r="D110" s="174" t="s">
        <v>320</v>
      </c>
      <c r="E110" s="100" t="s">
        <v>257</v>
      </c>
    </row>
    <row r="111" spans="1:5" x14ac:dyDescent="0.2">
      <c r="A111" s="88"/>
      <c r="B111" s="83" t="s">
        <v>29</v>
      </c>
      <c r="C111" s="173" t="s">
        <v>321</v>
      </c>
      <c r="D111" s="174" t="s">
        <v>322</v>
      </c>
      <c r="E111" s="100" t="s">
        <v>323</v>
      </c>
    </row>
    <row r="112" spans="1:5" x14ac:dyDescent="0.2">
      <c r="A112" s="88"/>
    </row>
    <row r="113" spans="1:5" customFormat="1" ht="14.1" customHeight="1" x14ac:dyDescent="0.25">
      <c r="A113" s="88"/>
      <c r="B113" s="84" t="s">
        <v>324</v>
      </c>
    </row>
    <row r="114" spans="1:5" x14ac:dyDescent="0.2">
      <c r="A114" s="88"/>
      <c r="B114" s="83" t="s">
        <v>25</v>
      </c>
      <c r="C114" s="173" t="s">
        <v>196</v>
      </c>
      <c r="D114" s="174" t="s">
        <v>298</v>
      </c>
      <c r="E114" s="100" t="s">
        <v>257</v>
      </c>
    </row>
    <row r="115" spans="1:5" x14ac:dyDescent="0.2">
      <c r="A115" s="88"/>
      <c r="B115" s="83" t="s">
        <v>38</v>
      </c>
      <c r="C115" s="173" t="s">
        <v>325</v>
      </c>
      <c r="D115" s="174" t="s">
        <v>326</v>
      </c>
      <c r="E115" s="100" t="s">
        <v>257</v>
      </c>
    </row>
    <row r="116" spans="1:5" x14ac:dyDescent="0.2">
      <c r="A116" s="88"/>
      <c r="B116" s="83" t="s">
        <v>41</v>
      </c>
      <c r="C116" s="173" t="s">
        <v>319</v>
      </c>
      <c r="D116" s="174" t="s">
        <v>298</v>
      </c>
      <c r="E116" s="100" t="s">
        <v>257</v>
      </c>
    </row>
    <row r="117" spans="1:5" x14ac:dyDescent="0.2">
      <c r="A117" s="88"/>
      <c r="B117" s="83" t="s">
        <v>22</v>
      </c>
      <c r="C117" s="173" t="s">
        <v>327</v>
      </c>
      <c r="D117" s="174" t="s">
        <v>298</v>
      </c>
      <c r="E117" s="100" t="s">
        <v>328</v>
      </c>
    </row>
    <row r="118" spans="1:5" x14ac:dyDescent="0.2">
      <c r="A118" s="88"/>
    </row>
    <row r="119" spans="1:5" x14ac:dyDescent="0.2">
      <c r="A119" s="88"/>
    </row>
    <row r="120" spans="1:5" x14ac:dyDescent="0.2">
      <c r="A120" s="88"/>
    </row>
    <row r="121" spans="1:5" customFormat="1" ht="14.1" customHeight="1" x14ac:dyDescent="0.25">
      <c r="A121" s="88"/>
      <c r="B121" s="101" t="s">
        <v>329</v>
      </c>
    </row>
    <row r="122" spans="1:5" x14ac:dyDescent="0.2">
      <c r="A122" s="88"/>
      <c r="B122" s="83" t="s">
        <v>146</v>
      </c>
      <c r="C122" s="173" t="s">
        <v>330</v>
      </c>
      <c r="D122" s="174" t="s">
        <v>331</v>
      </c>
    </row>
    <row r="123" spans="1:5" x14ac:dyDescent="0.2">
      <c r="A123" s="88"/>
    </row>
    <row r="124" spans="1:5" x14ac:dyDescent="0.2">
      <c r="A124" s="88"/>
    </row>
    <row r="125" spans="1:5" x14ac:dyDescent="0.2">
      <c r="A125" s="88"/>
    </row>
    <row r="126" spans="1:5" x14ac:dyDescent="0.2">
      <c r="A126" s="88"/>
    </row>
    <row r="127" spans="1:5" x14ac:dyDescent="0.2">
      <c r="A127" s="88"/>
    </row>
    <row r="128" spans="1:5" x14ac:dyDescent="0.2">
      <c r="A128" s="88"/>
    </row>
    <row r="129" spans="1:1" x14ac:dyDescent="0.2">
      <c r="A129" s="88"/>
    </row>
    <row r="130" spans="1:1" x14ac:dyDescent="0.2">
      <c r="A130" s="88"/>
    </row>
    <row r="131" spans="1:1" x14ac:dyDescent="0.2">
      <c r="A131" s="88"/>
    </row>
    <row r="132" spans="1:1" x14ac:dyDescent="0.2">
      <c r="A132" s="88"/>
    </row>
    <row r="133" spans="1:1" x14ac:dyDescent="0.2">
      <c r="A133" s="88"/>
    </row>
    <row r="134" spans="1:1" x14ac:dyDescent="0.2">
      <c r="A134" s="88"/>
    </row>
    <row r="135" spans="1:1" x14ac:dyDescent="0.2">
      <c r="A135" s="88"/>
    </row>
    <row r="136" spans="1:1" x14ac:dyDescent="0.2">
      <c r="A136" s="88"/>
    </row>
    <row r="137" spans="1:1" x14ac:dyDescent="0.2">
      <c r="A137" s="88"/>
    </row>
    <row r="138" spans="1:1" x14ac:dyDescent="0.2">
      <c r="A138" s="88"/>
    </row>
    <row r="139" spans="1:1" x14ac:dyDescent="0.2">
      <c r="A139" s="88"/>
    </row>
    <row r="140" spans="1:1" x14ac:dyDescent="0.2">
      <c r="A140" s="88"/>
    </row>
    <row r="141" spans="1:1" x14ac:dyDescent="0.2">
      <c r="A141" s="88"/>
    </row>
    <row r="142" spans="1:1" x14ac:dyDescent="0.2">
      <c r="A142" s="88"/>
    </row>
    <row r="143" spans="1:1" x14ac:dyDescent="0.2">
      <c r="A143" s="88"/>
    </row>
    <row r="144" spans="1:1" x14ac:dyDescent="0.2">
      <c r="A144" s="88"/>
    </row>
    <row r="145" spans="1:1" x14ac:dyDescent="0.2">
      <c r="A145" s="88"/>
    </row>
    <row r="146" spans="1:1" x14ac:dyDescent="0.2">
      <c r="A146" s="88"/>
    </row>
    <row r="147" spans="1:1" x14ac:dyDescent="0.2">
      <c r="A147" s="88"/>
    </row>
    <row r="148" spans="1:1" x14ac:dyDescent="0.2">
      <c r="A148" s="88"/>
    </row>
    <row r="149" spans="1:1" x14ac:dyDescent="0.2">
      <c r="A149" s="88"/>
    </row>
    <row r="150" spans="1:1" x14ac:dyDescent="0.2">
      <c r="A150" s="88"/>
    </row>
    <row r="151" spans="1:1" x14ac:dyDescent="0.2">
      <c r="A151" s="88"/>
    </row>
    <row r="152" spans="1:1" x14ac:dyDescent="0.2">
      <c r="A152" s="88"/>
    </row>
    <row r="153" spans="1:1" x14ac:dyDescent="0.2">
      <c r="A153" s="88"/>
    </row>
    <row r="154" spans="1:1" x14ac:dyDescent="0.2">
      <c r="A154" s="88"/>
    </row>
    <row r="155" spans="1:1" x14ac:dyDescent="0.2">
      <c r="A155" s="88"/>
    </row>
    <row r="156" spans="1:1" x14ac:dyDescent="0.2">
      <c r="A156" s="88"/>
    </row>
    <row r="157" spans="1:1" x14ac:dyDescent="0.2">
      <c r="A157" s="88"/>
    </row>
  </sheetData>
  <sheetProtection algorithmName="SHA-512" hashValue="5XJ2/AVDAx2okf/MeOsujttIqTHuqZFpK+sVazRew9/Iquqp8BRG3ndnw7nu5rJHtCsCMi/h77Hg9uQRpFn9dw==" saltValue="CmDToxU+X7PaofPpxWVkJQ==" spinCount="100000" sheet="1" objects="1"/>
  <mergeCells count="1">
    <mergeCell ref="A1:D1"/>
  </mergeCells>
  <phoneticPr fontId="44" type="noConversion"/>
  <printOptions gridLines="1"/>
  <pageMargins left="0.51181102362204722" right="0.51181102362204722" top="0.35433070866141736" bottom="0.35433070866141736" header="0.11811023622047245" footer="0.11811023622047245"/>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199"/>
  <sheetViews>
    <sheetView showGridLines="0" zoomScale="80" zoomScaleNormal="80" workbookViewId="0">
      <pane ySplit="23" topLeftCell="A174" activePane="bottomLeft" state="frozenSplit"/>
      <selection pane="bottomLeft" activeCell="C13" sqref="C13"/>
    </sheetView>
  </sheetViews>
  <sheetFormatPr defaultColWidth="9.85546875" defaultRowHeight="12.75" x14ac:dyDescent="0.2"/>
  <cols>
    <col min="1" max="1" width="37.7109375" style="204" customWidth="1"/>
    <col min="2" max="2" width="47" style="204" customWidth="1"/>
    <col min="3" max="3" width="38.5703125" style="204" customWidth="1"/>
    <col min="4" max="4" width="41.28515625" style="204" customWidth="1"/>
    <col min="5" max="5" width="44.42578125" style="204" customWidth="1"/>
    <col min="6" max="6" width="33.28515625" style="204" customWidth="1"/>
    <col min="7" max="7" width="12.5703125" style="204" customWidth="1"/>
    <col min="8" max="8" width="12.42578125" style="204" customWidth="1"/>
    <col min="9" max="9" width="62" style="205" customWidth="1"/>
    <col min="10" max="10" width="27.28515625" style="206" hidden="1" customWidth="1"/>
    <col min="11" max="11" width="15.28515625" style="207" hidden="1" customWidth="1"/>
    <col min="12" max="12" width="7.28515625" style="207" hidden="1" customWidth="1"/>
    <col min="13" max="13" width="9.85546875" style="204" customWidth="1"/>
    <col min="14" max="16384" width="9.85546875" style="204"/>
  </cols>
  <sheetData>
    <row r="1" spans="1:12" customFormat="1" ht="16.5" customHeight="1" x14ac:dyDescent="0.25">
      <c r="A1" s="209" t="s">
        <v>332</v>
      </c>
      <c r="B1" s="209" t="str">
        <f>'Hide_me(drop_downs)'!I1</f>
        <v>Year ended 31 July 2020</v>
      </c>
      <c r="C1" s="210" t="s">
        <v>333</v>
      </c>
      <c r="D1" s="211">
        <v>1.3</v>
      </c>
      <c r="E1" s="212"/>
      <c r="F1" s="212"/>
      <c r="G1" s="212"/>
      <c r="H1" s="212"/>
      <c r="I1" s="213"/>
      <c r="J1" s="214"/>
      <c r="K1" s="215"/>
      <c r="L1" s="215"/>
    </row>
    <row r="2" spans="1:12" x14ac:dyDescent="0.2">
      <c r="A2" s="216" t="s">
        <v>334</v>
      </c>
      <c r="B2" s="217" t="s">
        <v>335</v>
      </c>
      <c r="C2" s="218" t="s">
        <v>336</v>
      </c>
      <c r="D2" s="219">
        <f>SUM(K24:K196)</f>
        <v>0</v>
      </c>
      <c r="E2" s="220"/>
      <c r="F2" s="220"/>
      <c r="G2" s="220"/>
      <c r="H2" s="220"/>
      <c r="I2" s="221"/>
      <c r="J2" s="222"/>
    </row>
    <row r="3" spans="1:12" x14ac:dyDescent="0.2">
      <c r="A3" s="223" t="s">
        <v>337</v>
      </c>
      <c r="B3" s="224" t="s">
        <v>338</v>
      </c>
      <c r="C3" s="218" t="s">
        <v>339</v>
      </c>
      <c r="D3" s="225">
        <f>SUM(L24:L196)</f>
        <v>5</v>
      </c>
      <c r="E3" s="220"/>
      <c r="F3" s="220"/>
      <c r="G3" s="220"/>
      <c r="H3" s="220"/>
      <c r="I3" s="221"/>
      <c r="J3" s="222"/>
    </row>
    <row r="4" spans="1:12" x14ac:dyDescent="0.2">
      <c r="A4" s="223" t="s">
        <v>340</v>
      </c>
      <c r="B4" s="64" t="s">
        <v>17</v>
      </c>
      <c r="C4" s="226"/>
      <c r="D4" s="226"/>
      <c r="E4" s="220"/>
      <c r="F4" s="220"/>
      <c r="G4" s="220"/>
      <c r="H4" s="220"/>
      <c r="I4" s="221"/>
      <c r="J4" s="222"/>
    </row>
    <row r="5" spans="1:12" x14ac:dyDescent="0.2">
      <c r="A5" s="227" t="s">
        <v>341</v>
      </c>
      <c r="B5" s="228">
        <v>19031</v>
      </c>
      <c r="C5" s="229"/>
      <c r="D5" s="230"/>
      <c r="E5" s="4"/>
      <c r="F5" s="4"/>
      <c r="G5" s="4"/>
      <c r="H5" s="4"/>
      <c r="I5" s="150"/>
      <c r="J5" s="231"/>
    </row>
    <row r="6" spans="1:12" x14ac:dyDescent="0.2">
      <c r="A6" s="698"/>
      <c r="B6" s="698"/>
      <c r="C6" s="232"/>
      <c r="D6" s="230"/>
      <c r="E6" s="4"/>
      <c r="F6" s="4"/>
      <c r="G6" s="4"/>
      <c r="H6" s="4"/>
      <c r="I6" s="150"/>
      <c r="J6" s="231"/>
    </row>
    <row r="8" spans="1:12" customFormat="1" ht="15" customHeight="1" x14ac:dyDescent="0.25">
      <c r="A8" s="233"/>
      <c r="B8" s="234" t="s">
        <v>342</v>
      </c>
      <c r="C8" s="232"/>
      <c r="D8" s="235"/>
      <c r="E8" s="236"/>
      <c r="F8" s="236"/>
      <c r="G8" s="235"/>
      <c r="K8" s="75"/>
      <c r="L8" s="75"/>
    </row>
    <row r="9" spans="1:12" customFormat="1" ht="15" customHeight="1" x14ac:dyDescent="0.25">
      <c r="A9" s="4" t="s">
        <v>343</v>
      </c>
      <c r="B9" s="237"/>
      <c r="C9" s="237"/>
      <c r="D9" s="235"/>
      <c r="E9" s="236"/>
      <c r="F9" s="236"/>
      <c r="G9" s="235"/>
      <c r="K9" s="75"/>
      <c r="L9" s="75"/>
    </row>
    <row r="10" spans="1:12" customFormat="1" ht="15" customHeight="1" x14ac:dyDescent="0.25">
      <c r="A10" s="4" t="s">
        <v>344</v>
      </c>
      <c r="B10" s="237"/>
      <c r="C10" s="237"/>
      <c r="D10" s="235"/>
      <c r="E10" s="236"/>
      <c r="F10" s="236"/>
      <c r="G10" s="235"/>
      <c r="K10" s="75"/>
      <c r="L10" s="75"/>
    </row>
    <row r="11" spans="1:12" customFormat="1" ht="15" customHeight="1" x14ac:dyDescent="0.25">
      <c r="A11" s="4"/>
      <c r="B11" s="237"/>
      <c r="C11" s="237"/>
      <c r="D11" s="235"/>
      <c r="E11" s="236"/>
      <c r="F11" s="236"/>
      <c r="G11" s="235"/>
      <c r="K11" s="75"/>
      <c r="L11" s="75"/>
    </row>
    <row r="12" spans="1:12" customFormat="1" ht="15" customHeight="1" x14ac:dyDescent="0.25">
      <c r="A12" s="204" t="s">
        <v>345</v>
      </c>
      <c r="B12" s="237"/>
      <c r="C12" s="237"/>
      <c r="D12" s="235"/>
      <c r="E12" s="236"/>
      <c r="F12" s="236"/>
      <c r="G12" s="235"/>
      <c r="K12" s="75"/>
      <c r="L12" s="75"/>
    </row>
    <row r="13" spans="1:12" x14ac:dyDescent="0.2">
      <c r="A13" s="204" t="s">
        <v>346</v>
      </c>
      <c r="B13" s="238"/>
      <c r="C13" s="233"/>
      <c r="D13" s="233"/>
      <c r="E13" s="233"/>
      <c r="F13" s="233"/>
      <c r="G13" s="233"/>
    </row>
    <row r="14" spans="1:12" customFormat="1" ht="13.9" customHeight="1" x14ac:dyDescent="0.25">
      <c r="A14" s="204" t="s">
        <v>347</v>
      </c>
      <c r="B14" s="239"/>
      <c r="D14" s="240"/>
      <c r="E14" s="74"/>
      <c r="F14" s="240"/>
      <c r="G14" s="241"/>
      <c r="I14" s="205"/>
      <c r="J14" s="206"/>
      <c r="K14" s="76"/>
      <c r="L14" s="76"/>
    </row>
    <row r="15" spans="1:12" x14ac:dyDescent="0.2">
      <c r="A15" s="204" t="s">
        <v>348</v>
      </c>
      <c r="B15" s="239"/>
      <c r="D15" s="74"/>
      <c r="E15" s="74"/>
      <c r="F15" s="74"/>
      <c r="G15" s="242"/>
      <c r="H15" s="4"/>
      <c r="I15" s="150"/>
      <c r="J15" s="231"/>
    </row>
    <row r="16" spans="1:12" x14ac:dyDescent="0.2">
      <c r="B16" s="239"/>
      <c r="D16" s="240"/>
      <c r="E16" s="240"/>
      <c r="F16" s="240"/>
      <c r="G16" s="241"/>
    </row>
    <row r="17" spans="1:12" x14ac:dyDescent="0.2">
      <c r="A17" s="204" t="s">
        <v>349</v>
      </c>
      <c r="B17" s="239"/>
      <c r="D17" s="240"/>
      <c r="E17" s="240"/>
      <c r="F17" s="240"/>
      <c r="G17" s="241"/>
    </row>
    <row r="18" spans="1:12" customFormat="1" ht="13.9" customHeight="1" x14ac:dyDescent="0.25">
      <c r="A18" s="243" t="s">
        <v>350</v>
      </c>
      <c r="B18" s="239"/>
      <c r="D18" s="240"/>
      <c r="E18" s="240"/>
      <c r="F18" s="240"/>
      <c r="G18" s="241"/>
      <c r="I18" s="205"/>
      <c r="J18" s="206"/>
      <c r="K18" s="207"/>
      <c r="L18" s="207"/>
    </row>
    <row r="19" spans="1:12" x14ac:dyDescent="0.2">
      <c r="A19" s="244"/>
      <c r="B19" s="239"/>
      <c r="D19" s="240"/>
      <c r="E19" s="240"/>
      <c r="F19" s="240"/>
      <c r="G19" s="241"/>
    </row>
    <row r="20" spans="1:12" x14ac:dyDescent="0.2">
      <c r="A20" s="245"/>
      <c r="B20" s="238"/>
      <c r="C20" s="246"/>
      <c r="D20" s="246"/>
      <c r="E20" s="247"/>
      <c r="F20" s="248"/>
      <c r="G20" s="247"/>
    </row>
    <row r="21" spans="1:12" customFormat="1" ht="14.1" customHeight="1" x14ac:dyDescent="0.25">
      <c r="A21" s="249" t="s">
        <v>351</v>
      </c>
      <c r="B21" s="250"/>
      <c r="C21" s="251"/>
      <c r="D21" s="252"/>
      <c r="E21" s="252"/>
      <c r="F21" s="252"/>
      <c r="G21" s="252"/>
      <c r="H21" s="252"/>
      <c r="I21" s="253"/>
      <c r="J21" s="254"/>
    </row>
    <row r="22" spans="1:12" x14ac:dyDescent="0.2">
      <c r="A22" s="255"/>
      <c r="B22" s="256"/>
      <c r="C22" s="257"/>
      <c r="D22" s="258"/>
      <c r="E22" s="259"/>
      <c r="F22" s="260"/>
      <c r="G22" s="260"/>
      <c r="H22" s="260"/>
      <c r="I22" s="261"/>
      <c r="J22" s="262"/>
    </row>
    <row r="23" spans="1:12" s="208" customFormat="1" ht="14.1" customHeight="1" x14ac:dyDescent="0.25">
      <c r="A23" s="263" t="s">
        <v>352</v>
      </c>
      <c r="B23" s="264" t="s">
        <v>353</v>
      </c>
      <c r="C23" s="265"/>
      <c r="D23" s="266"/>
      <c r="E23" s="264" t="s">
        <v>354</v>
      </c>
      <c r="F23" s="264"/>
      <c r="G23" s="264" t="s">
        <v>355</v>
      </c>
      <c r="H23" s="264" t="s">
        <v>356</v>
      </c>
      <c r="I23" s="267" t="s">
        <v>357</v>
      </c>
      <c r="J23" s="268" t="s">
        <v>358</v>
      </c>
      <c r="K23" s="171" t="s">
        <v>358</v>
      </c>
      <c r="L23" s="171" t="s">
        <v>358</v>
      </c>
    </row>
    <row r="24" spans="1:12" customFormat="1" ht="15.6" customHeight="1" x14ac:dyDescent="0.25">
      <c r="A24" s="269" t="s">
        <v>359</v>
      </c>
      <c r="B24" s="696" t="s">
        <v>360</v>
      </c>
      <c r="C24" s="696"/>
      <c r="D24" s="696"/>
      <c r="E24" s="697" t="str">
        <f>Table_1_UK!$A$1&amp;" Head "&amp; Table_1_UK!A6</f>
        <v>Table 1: Head 1a</v>
      </c>
      <c r="F24" s="697"/>
      <c r="G24" s="270" t="s">
        <v>361</v>
      </c>
      <c r="H24" s="271" t="str">
        <f>IF(Table_1_UK!H6&lt;&gt;0,"PASS","FAIL")</f>
        <v>PASS</v>
      </c>
      <c r="I24" s="272" t="str">
        <f>IF(Table_1_UK!H6&lt;&gt;0,"","Head "&amp;Table_1_UK!A6&amp;" ("&amp;Title_Page!J24&amp;")")</f>
        <v/>
      </c>
      <c r="J24" s="273">
        <f>Table_1_UK!H6</f>
        <v>390583</v>
      </c>
      <c r="K24" s="207">
        <f t="shared" ref="K24:K55" si="0">IF(AND(G24="Error",H24="FAIL"),1,0)</f>
        <v>0</v>
      </c>
      <c r="L24" s="207">
        <f t="shared" ref="L24:L55" si="1">IF(AND(G24="Warning",H24="FAIL"),1,0)</f>
        <v>0</v>
      </c>
    </row>
    <row r="25" spans="1:12" customFormat="1" ht="15.6" customHeight="1" x14ac:dyDescent="0.25">
      <c r="A25" s="269" t="s">
        <v>362</v>
      </c>
      <c r="B25" s="696" t="s">
        <v>363</v>
      </c>
      <c r="C25" s="696"/>
      <c r="D25" s="696"/>
      <c r="E25" s="697" t="str">
        <f>Table_1_UK!$A$1&amp;" Head "&amp; Table_1_UK!A7</f>
        <v>Table 1: Head 1b</v>
      </c>
      <c r="F25" s="697"/>
      <c r="G25" s="270" t="s">
        <v>361</v>
      </c>
      <c r="H25" s="271" t="str">
        <f>IF(Table_1_UK!H7=0,"FAIL","PASS")</f>
        <v>PASS</v>
      </c>
      <c r="I25" s="272" t="str">
        <f>IF(Table_1_UK!H7=0,"Head "&amp;Table_1_UK!A7&amp;" ("&amp;Title_Page!J25&amp;")","")</f>
        <v/>
      </c>
      <c r="J25" s="273">
        <f>Table_1_UK!H7</f>
        <v>190823</v>
      </c>
      <c r="K25" s="207">
        <f t="shared" si="0"/>
        <v>0</v>
      </c>
      <c r="L25" s="207">
        <f t="shared" si="1"/>
        <v>0</v>
      </c>
    </row>
    <row r="26" spans="1:12" customFormat="1" ht="15.6" customHeight="1" x14ac:dyDescent="0.25">
      <c r="A26" s="269" t="s">
        <v>364</v>
      </c>
      <c r="B26" s="696" t="s">
        <v>365</v>
      </c>
      <c r="C26" s="696"/>
      <c r="D26" s="696"/>
      <c r="E26" s="274" t="str">
        <f>Table_1_UK!$A$1&amp;" Head "&amp; Table_1_UK!A8</f>
        <v>Table 1: Head 1c</v>
      </c>
      <c r="F26" s="274"/>
      <c r="G26" s="270" t="s">
        <v>366</v>
      </c>
      <c r="H26" s="271" t="str">
        <f>IF(Table_1_UK!H8&lt;&gt;0,"PASS","FAIL")</f>
        <v>PASS</v>
      </c>
      <c r="I26" s="272" t="str">
        <f>IF(Table_1_UK!H8&lt;&gt;0,"","Head "&amp;Table_1_UK!A8&amp;" ("&amp;Title_Page!J26&amp;")")</f>
        <v/>
      </c>
      <c r="J26" s="273">
        <f>Table_1_UK!H8</f>
        <v>296135</v>
      </c>
      <c r="K26" s="207">
        <f t="shared" si="0"/>
        <v>0</v>
      </c>
      <c r="L26" s="207">
        <f t="shared" si="1"/>
        <v>0</v>
      </c>
    </row>
    <row r="27" spans="1:12" customFormat="1" ht="15.6" customHeight="1" x14ac:dyDescent="0.25">
      <c r="A27" s="269" t="s">
        <v>367</v>
      </c>
      <c r="B27" s="696" t="s">
        <v>368</v>
      </c>
      <c r="C27" s="696"/>
      <c r="D27" s="696"/>
      <c r="E27" s="697" t="str">
        <f>Table_1_UK!$A$1&amp;" Head "&amp; Table_1_UK!A9</f>
        <v>Table 1: Head 1d</v>
      </c>
      <c r="F27" s="697"/>
      <c r="G27" s="270" t="s">
        <v>361</v>
      </c>
      <c r="H27" s="271" t="str">
        <f>IF(Table_1_UK!H9&lt;&gt;0,"PASS","FAIL")</f>
        <v>PASS</v>
      </c>
      <c r="I27" s="272" t="str">
        <f>IF(Table_1_UK!H9&lt;&gt;0,"","Head "&amp;Table_1_UK!A9&amp;" ("&amp;Title_Page!J27&amp;")")</f>
        <v/>
      </c>
      <c r="J27" s="273">
        <f>Table_1_UK!H9</f>
        <v>192363</v>
      </c>
      <c r="K27" s="207">
        <f t="shared" si="0"/>
        <v>0</v>
      </c>
      <c r="L27" s="207">
        <f t="shared" si="1"/>
        <v>0</v>
      </c>
    </row>
    <row r="28" spans="1:12" customFormat="1" ht="15.6" customHeight="1" x14ac:dyDescent="0.25">
      <c r="A28" s="269" t="s">
        <v>369</v>
      </c>
      <c r="B28" s="696" t="s">
        <v>370</v>
      </c>
      <c r="C28" s="696"/>
      <c r="D28" s="696"/>
      <c r="E28" s="697" t="str">
        <f>Table_1_UK!$A$1&amp;" Head "&amp; Table_1_UK!A10</f>
        <v>Table 1: Head 1e</v>
      </c>
      <c r="F28" s="697"/>
      <c r="G28" s="270" t="s">
        <v>366</v>
      </c>
      <c r="H28" s="271" t="str">
        <f>IF(Table_1_UK!H10&lt;&gt;0,"PASS","FAIL")</f>
        <v>PASS</v>
      </c>
      <c r="I28" s="272" t="str">
        <f>IF(Table_1_UK!H10&lt;&gt;0,"","Head "&amp;Table_1_UK!A10&amp;" ("&amp;Title_Page!J28&amp;")")</f>
        <v/>
      </c>
      <c r="J28" s="273">
        <f>Table_1_UK!H10</f>
        <v>17596</v>
      </c>
      <c r="K28" s="207">
        <f t="shared" si="0"/>
        <v>0</v>
      </c>
      <c r="L28" s="207">
        <f t="shared" si="1"/>
        <v>0</v>
      </c>
    </row>
    <row r="29" spans="1:12" customFormat="1" ht="15.6" customHeight="1" x14ac:dyDescent="0.25">
      <c r="A29" s="269" t="s">
        <v>371</v>
      </c>
      <c r="B29" s="696" t="s">
        <v>372</v>
      </c>
      <c r="C29" s="696"/>
      <c r="D29" s="696"/>
      <c r="E29" s="697" t="str">
        <f>Table_1_UK!$A$1&amp;" Head "&amp; Table_1_UK!A11</f>
        <v>Table 1: Head 1f</v>
      </c>
      <c r="F29" s="697"/>
      <c r="G29" s="270" t="s">
        <v>366</v>
      </c>
      <c r="H29" s="271" t="str">
        <f>IF(Table_1_UK!H11&lt;&gt;0,"PASS","FAIL")</f>
        <v>PASS</v>
      </c>
      <c r="I29" s="272" t="str">
        <f>IF(Table_1_UK!H11&lt;&gt;0,"","Head "&amp;Table_1_UK!A11&amp;" ("&amp;Title_Page!J29&amp;")")</f>
        <v/>
      </c>
      <c r="J29" s="273">
        <f>Table_1_UK!H11</f>
        <v>37821</v>
      </c>
      <c r="K29" s="207">
        <f t="shared" si="0"/>
        <v>0</v>
      </c>
      <c r="L29" s="207">
        <f t="shared" si="1"/>
        <v>0</v>
      </c>
    </row>
    <row r="30" spans="1:12" customFormat="1" ht="15.6" customHeight="1" x14ac:dyDescent="0.25">
      <c r="A30" s="269" t="s">
        <v>373</v>
      </c>
      <c r="B30" s="696" t="s">
        <v>374</v>
      </c>
      <c r="C30" s="696"/>
      <c r="D30" s="696"/>
      <c r="E30" s="697" t="str">
        <f>Table_1_UK!$A$1&amp;" Head "&amp; Table_1_UK!A12</f>
        <v>Table 1: Head 1g</v>
      </c>
      <c r="F30" s="697"/>
      <c r="G30" s="270" t="s">
        <v>361</v>
      </c>
      <c r="H30" s="271" t="str">
        <f>IF(Table_1_UK!H12&lt;&gt;0,"PASS","FAIL")</f>
        <v>PASS</v>
      </c>
      <c r="I30" s="272" t="str">
        <f>IF(Table_1_UK!H12&lt;&gt;0,"","Head "&amp;Table_1_UK!A12&amp;" ("&amp;Title_Page!J30&amp;")")</f>
        <v/>
      </c>
      <c r="J30" s="273">
        <f>Table_1_UK!H12</f>
        <v>1125321</v>
      </c>
      <c r="K30" s="207">
        <f t="shared" si="0"/>
        <v>0</v>
      </c>
      <c r="L30" s="207">
        <f t="shared" si="1"/>
        <v>0</v>
      </c>
    </row>
    <row r="31" spans="1:12" customFormat="1" ht="15.6" customHeight="1" x14ac:dyDescent="0.25">
      <c r="A31" s="269" t="s">
        <v>375</v>
      </c>
      <c r="B31" s="696" t="s">
        <v>376</v>
      </c>
      <c r="C31" s="696"/>
      <c r="D31" s="696"/>
      <c r="E31" s="697" t="str">
        <f>Table_1_UK!$A$1&amp;" Head "&amp; Table_1_UK!A12</f>
        <v>Table 1: Head 1g</v>
      </c>
      <c r="F31" s="697"/>
      <c r="G31" s="270" t="s">
        <v>361</v>
      </c>
      <c r="H31" s="271" t="str">
        <f>IF(Table_1_UK!I12&lt;&gt;0,"PASS","FAIL")</f>
        <v>PASS</v>
      </c>
      <c r="I31" s="272" t="str">
        <f>IF(Table_1_UK!I12&lt;&gt;0,"","Head "&amp;Table_1_UK!A12&amp;" ("&amp;Title_Page!J31&amp;")")</f>
        <v/>
      </c>
      <c r="J31" s="273">
        <f>Table_1_UK!I12</f>
        <v>1101504</v>
      </c>
      <c r="K31" s="207">
        <f t="shared" si="0"/>
        <v>0</v>
      </c>
      <c r="L31" s="207">
        <f t="shared" si="1"/>
        <v>0</v>
      </c>
    </row>
    <row r="32" spans="1:12" customFormat="1" ht="15.6" customHeight="1" x14ac:dyDescent="0.25">
      <c r="A32" s="269" t="s">
        <v>377</v>
      </c>
      <c r="B32" s="696" t="s">
        <v>378</v>
      </c>
      <c r="C32" s="696"/>
      <c r="D32" s="696"/>
      <c r="E32" s="697" t="str">
        <f>Table_1_UK!$A$1&amp;" Head "&amp; Table_1_UK!A20</f>
        <v>Table 1: Head 2f</v>
      </c>
      <c r="F32" s="697"/>
      <c r="G32" s="270" t="s">
        <v>361</v>
      </c>
      <c r="H32" s="271" t="str">
        <f>IF(Table_1_UK!H20&lt;&gt;0,"PASS","FAIL")</f>
        <v>PASS</v>
      </c>
      <c r="I32" s="272" t="str">
        <f>IF(Table_1_UK!H20&lt;&gt;0,"","Head "&amp;Table_1_UK!A20&amp;" ("&amp;Title_Page!J32&amp;")")</f>
        <v/>
      </c>
      <c r="J32" s="273">
        <f>Table_1_UK!H20</f>
        <v>933711</v>
      </c>
      <c r="K32" s="207">
        <f t="shared" si="0"/>
        <v>0</v>
      </c>
      <c r="L32" s="207">
        <f t="shared" si="1"/>
        <v>0</v>
      </c>
    </row>
    <row r="33" spans="1:12" customFormat="1" ht="15.6" customHeight="1" x14ac:dyDescent="0.25">
      <c r="A33" s="269" t="s">
        <v>379</v>
      </c>
      <c r="B33" s="696" t="s">
        <v>380</v>
      </c>
      <c r="C33" s="696"/>
      <c r="D33" s="696"/>
      <c r="E33" s="697" t="str">
        <f>Table_1_UK!$A$1&amp;" Head "&amp; Table_1_UK!A20</f>
        <v>Table 1: Head 2f</v>
      </c>
      <c r="F33" s="697"/>
      <c r="G33" s="270" t="s">
        <v>361</v>
      </c>
      <c r="H33" s="271" t="str">
        <f>IF(Table_1_UK!I20&lt;&gt;0,"PASS","FAIL")</f>
        <v>PASS</v>
      </c>
      <c r="I33" s="272" t="str">
        <f>IF(Table_1_UK!I20&lt;&gt;0,"","Head "&amp;Table_1_UK!A20&amp;" ("&amp;Title_Page!J33&amp;")")</f>
        <v/>
      </c>
      <c r="J33" s="273">
        <f>Table_1_UK!I20</f>
        <v>1235935</v>
      </c>
      <c r="K33" s="207">
        <f t="shared" si="0"/>
        <v>0</v>
      </c>
      <c r="L33" s="207">
        <f t="shared" si="1"/>
        <v>0</v>
      </c>
    </row>
    <row r="34" spans="1:12" customFormat="1" ht="30.6" customHeight="1" x14ac:dyDescent="0.25">
      <c r="A34" s="269" t="s">
        <v>381</v>
      </c>
      <c r="B34" s="696" t="s">
        <v>382</v>
      </c>
      <c r="C34" s="696"/>
      <c r="D34" s="696"/>
      <c r="E34" s="695" t="str">
        <f>Table_1_UK!$A$1&amp;" Head "&amp;Table_1_UK!A41&amp;", "&amp;Table_1_UK!A50</f>
        <v>Table 1: Head 16, 17g</v>
      </c>
      <c r="F34" s="695"/>
      <c r="G34" s="271" t="s">
        <v>361</v>
      </c>
      <c r="H34" s="271" t="str">
        <f>IF(Table_1_UK!H41=Table_1_UK!H50,"PASS","FAIL")</f>
        <v>PASS</v>
      </c>
      <c r="I34" s="272" t="str">
        <f>IF(Table_1_UK!H41=Table_1_UK!H50,"","Head "&amp;Table_1_UK!A41&amp;", "&amp;Table_1_UK!A50&amp;" ("&amp;Title_Page!J34&amp;")")</f>
        <v/>
      </c>
      <c r="J34" s="273" t="str">
        <f>(Table_1_UK!H41&amp;", "&amp;Table_1_UK!H50)</f>
        <v>149709, 149709</v>
      </c>
      <c r="K34" s="207">
        <f t="shared" si="0"/>
        <v>0</v>
      </c>
      <c r="L34" s="207">
        <f t="shared" si="1"/>
        <v>0</v>
      </c>
    </row>
    <row r="35" spans="1:12" customFormat="1" ht="15.6" customHeight="1" x14ac:dyDescent="0.25">
      <c r="A35" s="275" t="s">
        <v>383</v>
      </c>
      <c r="B35" s="696" t="s">
        <v>384</v>
      </c>
      <c r="C35" s="696"/>
      <c r="D35" s="696"/>
      <c r="E35" s="695" t="str">
        <f>Table_1_UK!$A$1&amp;" Head "&amp;Table_1_UK!A39</f>
        <v>Table 1: Head 15</v>
      </c>
      <c r="F35" s="695"/>
      <c r="G35" s="271" t="s">
        <v>361</v>
      </c>
      <c r="H35" s="276" t="str">
        <f>IF(AND(SUM(Table_1_UK!H39)&lt;&gt;0,ISBLANK(Table_1_UK!N39)),"FAIL","PASS")</f>
        <v>PASS</v>
      </c>
      <c r="I35" s="272" t="str">
        <f>IF(AND(SUM(Table_1_UK!H39)&lt;&gt;0,ISBLANK(Table_1_UK!N39)),"Head "&amp;Table_1_UK!A39&amp;"("&amp;Title_Page!J35&amp;")","")</f>
        <v/>
      </c>
      <c r="J35" s="273" t="str">
        <f>Table_1_UK!H39&amp;", "&amp;Table_1_UK!N39</f>
        <v xml:space="preserve">0, </v>
      </c>
      <c r="K35" s="207">
        <f t="shared" si="0"/>
        <v>0</v>
      </c>
      <c r="L35" s="207">
        <f t="shared" si="1"/>
        <v>0</v>
      </c>
    </row>
    <row r="36" spans="1:12" customFormat="1" ht="15.6" customHeight="1" x14ac:dyDescent="0.25">
      <c r="A36" s="275" t="s">
        <v>385</v>
      </c>
      <c r="B36" s="696" t="s">
        <v>386</v>
      </c>
      <c r="C36" s="696"/>
      <c r="D36" s="696"/>
      <c r="E36" s="695" t="str">
        <f>Table_1_UK!$A$1&amp;" Head "&amp;Table_1_UK!A39</f>
        <v>Table 1: Head 15</v>
      </c>
      <c r="F36" s="695"/>
      <c r="G36" s="271" t="s">
        <v>361</v>
      </c>
      <c r="H36" s="276" t="str">
        <f>IF(AND(SUM(Table_1_UK!H39)=0,NOT(ISBLANK(Table_1_UK!N39))),"FAIL","PASS")</f>
        <v>PASS</v>
      </c>
      <c r="I36" s="272" t="str">
        <f>IF(AND(SUM(Table_1_UK!H39)=0,NOT(ISBLANK(Table_1_UK!N39))),"Head "&amp;Table_1_UK!A39&amp;"("&amp;Title_Page!J36&amp;")","")</f>
        <v/>
      </c>
      <c r="J36" s="273" t="str">
        <f>Table_1_UK!H39&amp;", "&amp;Table_1_UK!N39</f>
        <v xml:space="preserve">0, </v>
      </c>
      <c r="K36" s="207">
        <f t="shared" si="0"/>
        <v>0</v>
      </c>
      <c r="L36" s="207">
        <f t="shared" si="1"/>
        <v>0</v>
      </c>
    </row>
    <row r="37" spans="1:12" customFormat="1" ht="30.6" customHeight="1" x14ac:dyDescent="0.25">
      <c r="A37" s="275" t="s">
        <v>387</v>
      </c>
      <c r="B37" s="696" t="s">
        <v>388</v>
      </c>
      <c r="C37" s="696"/>
      <c r="D37" s="696"/>
      <c r="E37" s="695" t="str">
        <f>Table_1_UK!$A$1&amp;" Head "&amp;Table_1_UK!A41&amp;", " &amp;Table_2_UK!$A$1&amp;" Head "&amp;Table_2_UK!A70</f>
        <v>Table 1: Head 16, Table 2: Head 14</v>
      </c>
      <c r="F37" s="695"/>
      <c r="G37" s="271" t="s">
        <v>366</v>
      </c>
      <c r="H37" s="276" t="str">
        <f>IF((ABS(Table_1_UK!H41-(Table_2_UK!H70-Table_2_UK!I70)))&gt;5, "FAIL", "PASS")</f>
        <v>PASS</v>
      </c>
      <c r="I37" s="272" t="str">
        <f>IF((ABS(Table_1_UK!H41-(Table_2_UK!H70-Table_2_UK!I70)))&gt;5, "Table 1 "&amp;"Head "&amp;Table_1_UK!A41&amp;" ("&amp;Table_1_UK!H41&amp;")"&amp;", "&amp;"Table 2 "&amp;"Head "&amp;Table_2_UK!A70&amp;" ("&amp;Table_2_UK!H70&amp;", "&amp;Table_2_UK!I70&amp;")","")</f>
        <v/>
      </c>
      <c r="J37" s="277" t="str">
        <f>Table_1_UK!H41&amp;", "&amp;Table_2_UK!H70&amp;", "&amp;Table_2_UK!I70</f>
        <v>149709, 2204368, 2054658</v>
      </c>
      <c r="K37" s="207">
        <f t="shared" si="0"/>
        <v>0</v>
      </c>
      <c r="L37" s="207">
        <f t="shared" si="1"/>
        <v>0</v>
      </c>
    </row>
    <row r="38" spans="1:12" customFormat="1" ht="46.35" customHeight="1" x14ac:dyDescent="0.25">
      <c r="A38" s="170" t="s">
        <v>389</v>
      </c>
      <c r="B38" s="693" t="s">
        <v>390</v>
      </c>
      <c r="C38" s="693"/>
      <c r="D38" s="693"/>
      <c r="E38" s="695" t="str">
        <f>Table_1_UK!$A$1&amp;" Head "&amp;Table_1_UK!A7&amp;" ,"&amp;Table_1_UK!A9&amp;", "&amp;Table_1_UK!A10&amp;", "&amp;Table_1_UK!A11&amp;", "&amp;Table_1_UK!A16&amp;", "&amp;Table_1_UK!A18&amp;", "&amp;Table_1_UK!A19&amp;", "&amp;Table_1_UK!A24&amp;", "&amp;Table_1_UK!A26&amp;", "&amp;Table_1_UK!A27&amp;", "&amp;Table_1_UK!A28&amp;", "&amp;Table_1_UK!A32</f>
        <v>Table 1: Head 1b ,1d, 1e, 1f, 2b, 2d, 2e, 4, 6, 7, 8, 10</v>
      </c>
      <c r="F38" s="695"/>
      <c r="G38" s="271" t="s">
        <v>366</v>
      </c>
      <c r="H38" s="276" t="str">
        <f>IF(OR(AND(Table_1_UK!K7&gt;750,Table_1_UK!L7&gt;2),AND(Table_1_UK!K7&lt;-750,Table_1_UK!L7&gt;2),AND(Table_1_UK!K9&gt;750,Table_1_UK!L9&gt;2),AND(Table_1_UK!K9&lt;-750,Table_1_UK!L9&gt;2),AND(Table_1_UK!K10&gt;750,Table_1_UK!L10&gt;2),AND(Table_1_UK!K10&lt;-750,Table_1_UK!L10&gt;2),AND(Table_1_UK!K11&gt;750,Table_1_UK!L11&gt;2),AND(Table_1_UK!K11&lt;-750,Table_1_UK!L11&gt;2),AND(Table_1_UK!K16&gt;750,Table_1_UK!L16&gt;2),AND(Table_1_UK!K16&lt;-750,Table_1_UK!L16&gt;2),AND(Table_1_UK!K18&gt;750,Table_1_UK!L18&gt;2),AND(Table_1_UK!K18&lt;-750,Table_1_UK!L18&gt;2),AND(Table_1_UK!K19&gt;750,Table_1_UK!L19&gt;2),AND(Table_1_UK!K19&lt;-750,Table_1_UK!L19&gt;2),AND(Table_1_UK!K24&gt;750,Table_1_UK!L24&gt;2),AND(Table_1_UK!K24&lt;-750,Table_1_UK!L24&gt;2),AND(Table_1_UK!K26&gt;750,Table_1_UK!L26&gt;2),AND(Table_1_UK!K26&lt;-750,Table_1_UK!L26&gt;2),AND(Table_1_UK!K27&gt;750,Table_1_UK!L27&gt;2),AND(Table_1_UK!K27&lt;-750,Table_1_UK!L27&gt;2),AND(Table_1_UK!K28&gt;750,Table_1_UK!L28&gt;2),AND(Table_1_UK!K28&lt;-750,Table_1_UK!L28&gt;2),AND(Table_1_UK!K32&gt;750,Table_1_UK!L32&gt;2),AND(Table_1_UK!K32&lt;-750,Table_1_UK!L32&gt;2)),"FAIL","PASS")</f>
        <v>FAIL</v>
      </c>
      <c r="I38" s="272" t="str">
        <f>IF(Table_1_UK!S1="FAIL",CONCATENATE(Table_1_UK!S5," ",Table_1_UK!S7,Table_1_UK!S9,Table_1_UK!S10,Table_1_UK!S11,Table_1_UK!S16,Table_1_UK!S18,Table_1_UK!S19,Table_1_UK!S24,Table_1_UK!S26,Table_1_UK!S27,Table_1_UK!S28,Table_1_UK!S32),"")</f>
        <v xml:space="preserve">Head 4 (431, 4560), 6 (11482, 36784), </v>
      </c>
      <c r="J38" s="277" t="str">
        <f>Table_1_UK!H7&amp;", "&amp;Table_1_UK!H9&amp;", "&amp;Table_1_UK!H10&amp;", "&amp;Table_1_UK!H11&amp;", "&amp;Table_1_UK!H16&amp;", "&amp;Table_1_UK!H18&amp;", "&amp;Table_1_UK!H19&amp;", "&amp;Table_1_UK!H24&amp;", "&amp;Table_1_UK!H26&amp;", "&amp;Table_1_UK!H27&amp;", "&amp;Table_1_UK!H28&amp;", "&amp;Table_1_UK!H32</f>
        <v>190823, 192363, 17596, 37821, 0, 60930, 23379, 431, 11482, 0, 0, -368</v>
      </c>
      <c r="K38" s="207">
        <f t="shared" si="0"/>
        <v>0</v>
      </c>
      <c r="L38" s="207">
        <f t="shared" si="1"/>
        <v>1</v>
      </c>
    </row>
    <row r="39" spans="1:12" customFormat="1" ht="47.25" customHeight="1" x14ac:dyDescent="0.25">
      <c r="A39" s="170" t="s">
        <v>391</v>
      </c>
      <c r="B39" s="693" t="s">
        <v>392</v>
      </c>
      <c r="C39" s="693"/>
      <c r="D39" s="693"/>
      <c r="E39" s="695" t="str">
        <f>Table_1_UK!$A$1&amp;" Head "&amp;Table_1_UK!A7&amp;", "&amp;Table_1_UK!A9&amp;", "&amp;Table_1_UK!A10&amp;", "&amp;Table_1_UK!A11&amp;", "&amp;Table_1_UK!A16&amp;", "&amp;Table_1_UK!A18&amp;", "&amp;Table_1_UK!A19&amp;", "&amp;Table_1_UK!A24&amp;", "&amp;Table_1_UK!A26&amp;", "&amp;Table_1_UK!A27&amp;", "&amp;Table_1_UK!A28&amp;", "&amp;Table_1_UK!A32&amp;", "&amp;Table_1_UK!A36&amp;", "&amp;Table_1_UK!A37&amp;", "&amp;Table_1_UK!A38&amp;", "&amp;Table_1_UK!A39&amp;", "&amp;Table_1_UK!A44&amp;", "&amp;Table_1_UK!A45&amp;", "&amp;Table_1_UK!A46&amp;", "&amp;Table_1_UK!A47&amp;", "&amp;Table_1_UK!A49&amp;", "&amp;Table_1_UK!A53</f>
        <v>Table 1: Head 1b, 1d, 1e, 1f, 2b, 2d, 2e, 4, 6, 7, 8, 10, 12, 13, 14, 15, 17a, 17b, 17c, 17d, 17f, 18a</v>
      </c>
      <c r="F39" s="695"/>
      <c r="G39" s="271" t="s">
        <v>366</v>
      </c>
      <c r="H39" s="276" t="str">
        <f>IF(OR(AND(Table_1_UK!I7&lt;&gt;Table_1_UK!J7),AND(Table_1_UK!I9&lt;&gt;Table_1_UK!J9),AND(Table_1_UK!I10&lt;&gt;Table_1_UK!J10),AND(Table_1_UK!I11&lt;&gt;Table_1_UK!J11),AND(Table_1_UK!I16&lt;&gt;Table_1_UK!J16),AND(Table_1_UK!I18&lt;&gt;Table_1_UK!J18),AND(Table_1_UK!I19&lt;&gt;Table_1_UK!J19),AND(Table_1_UK!I24&lt;&gt;Table_1_UK!J24),AND(Table_1_UK!I26&lt;&gt;Table_1_UK!J26),AND(Table_1_UK!I27&lt;&gt;Table_1_UK!J27),AND(Table_1_UK!I28&lt;&gt;Table_1_UK!J28),AND(Table_1_UK!I32&lt;&gt;Table_1_UK!J32),AND(Table_1_UK!I36&lt;&gt;Table_1_UK!J36),AND(Table_1_UK!I37&lt;&gt;Table_1_UK!J37),AND(Table_1_UK!I38&lt;&gt;Table_1_UK!J38),AND(Table_1_UK!I39&lt;&gt;Table_1_UK!J39),AND(Table_1_UK!I44&lt;&gt;Table_1_UK!J44),AND(Table_1_UK!I45&lt;&gt;Table_1_UK!J45),AND(Table_1_UK!I46&lt;&gt;Table_1_UK!J46),AND(Table_1_UK!I47&lt;&gt;Table_1_UK!J47),AND(Table_1_UK!I49&lt;&gt;Table_1_UK!J49),AND(Table_1_UK!I53&lt;&gt;Table_1_UK!J53)),"FAIL","PASS")</f>
        <v>PASS</v>
      </c>
      <c r="I39" s="272" t="str">
        <f>IF(Table_1_UK!U1="FAIL",CONCATENATE(Table_1_UK!U5," ",Table_1_UK!U7,Table_1_UK!U9,Table_1_UK!U10,Table_1_UK!U11,Table_1_UK!U16,Table_1_UK!U18,Table_1_UK!U19,Table_1_UK!U24,Table_1_UK!U26,Table_1_UK!U27,Table_1_UK!U28,Table_1_UK!U32,Table_1_UK!U36,Table_1_UK!U37,Table_1_UK!U38,Table_1_UK!U39,Table_1_UK!U44,Table_1_UK!U45,Table_1_UK!U46,Table_1_UK!U47,Table_1_UK!U49,Table_1_UK!U53),"")</f>
        <v/>
      </c>
      <c r="J39" s="277" t="str">
        <f>Table_1_UK!I7&amp;", "&amp;Table_1_UK!I9&amp;", "&amp;Table_1_UK!I10&amp;", "&amp;Table_1_UK!I11&amp;", "&amp;Table_1_UK!I16&amp;", "&amp;Table_1_UK!I18&amp;", "&amp;Table_1_UK!I19&amp;", "&amp;Table_1_UK!I24&amp;", "&amp;Table_1_UK!I26&amp;", "&amp;Table_1_UK!I27&amp;", "&amp;Table_1_UK!I28&amp;", "&amp;Table_1_UK!I32&amp;", "&amp;Table_1_UK!I36&amp;", "&amp;Table_1_UK!I37&amp;", "&amp;Table_1_UK!I38&amp;", "&amp;Table_1_UK!I39&amp;", "&amp;Table_1_UK!I44&amp;", "&amp;Table_1_UK!I45&amp;", "&amp;Table_1_UK!I46&amp;", "&amp;Table_1_UK!I47&amp;", "&amp;Table_1_UK!I49&amp;", "&amp;Table_1_UK!I53</f>
        <v>195819, 234018, 17413, 21750, 0, 63758, 33014, 4560, 36784, 0, 0, 50, 805, -69991, 0, 0, 35764, -11334, -187458, 805, 0, 0</v>
      </c>
      <c r="K39" s="207">
        <f t="shared" si="0"/>
        <v>0</v>
      </c>
      <c r="L39" s="207">
        <f t="shared" si="1"/>
        <v>0</v>
      </c>
    </row>
    <row r="40" spans="1:12" customFormat="1" ht="30.4" customHeight="1" x14ac:dyDescent="0.25">
      <c r="A40" s="176" t="s">
        <v>393</v>
      </c>
      <c r="B40" s="693" t="s">
        <v>394</v>
      </c>
      <c r="C40" s="693"/>
      <c r="D40" s="693"/>
      <c r="E40" s="695" t="str">
        <f>Table_1_UK!$A$1&amp;" Head "&amp;Table_1_UK!A56</f>
        <v>Table 1: Head 19</v>
      </c>
      <c r="F40" s="695"/>
      <c r="G40" s="270" t="s">
        <v>361</v>
      </c>
      <c r="H40" s="271" t="str">
        <f>IF(ISBLANK(Table_1_UK!H56),"FAIL","PASS")</f>
        <v>PASS</v>
      </c>
      <c r="I40" s="272" t="str">
        <f>IF(ISBLANK(Table_1_UK!H56),"Head "&amp;Table_1_UK!A56&amp;" (  )","")</f>
        <v/>
      </c>
      <c r="J40" s="277" t="str">
        <f>Table_1_UK!H56</f>
        <v>Yes</v>
      </c>
      <c r="K40" s="207">
        <f t="shared" si="0"/>
        <v>0</v>
      </c>
      <c r="L40" s="207">
        <f t="shared" si="1"/>
        <v>0</v>
      </c>
    </row>
    <row r="41" spans="1:12" customFormat="1" ht="30.4" customHeight="1" x14ac:dyDescent="0.25">
      <c r="A41" s="176" t="s">
        <v>395</v>
      </c>
      <c r="B41" s="693" t="s">
        <v>396</v>
      </c>
      <c r="C41" s="693"/>
      <c r="D41" s="693"/>
      <c r="E41" s="695" t="str">
        <f>Table_1_UK!$A$1&amp;" Head "&amp;Table_1_UK!A56</f>
        <v>Table 1: Head 19</v>
      </c>
      <c r="F41" s="695"/>
      <c r="G41" s="270" t="s">
        <v>361</v>
      </c>
      <c r="H41" s="271" t="str">
        <f>IF(ISBLANK(Table_1_UK!I56),"FAIL","PASS")</f>
        <v>PASS</v>
      </c>
      <c r="I41" s="272" t="str">
        <f>IF(ISBLANK(Table_1_UK!I56),"Head "&amp;Table_1_UK!A56&amp;" (  )","")</f>
        <v/>
      </c>
      <c r="J41" s="277" t="str">
        <f>Table_1_UK!I56</f>
        <v>Yes</v>
      </c>
      <c r="K41" s="207">
        <f t="shared" si="0"/>
        <v>0</v>
      </c>
      <c r="L41" s="207">
        <f t="shared" si="1"/>
        <v>0</v>
      </c>
    </row>
    <row r="42" spans="1:12" customFormat="1" ht="34.35" customHeight="1" x14ac:dyDescent="0.25">
      <c r="A42" s="176" t="s">
        <v>397</v>
      </c>
      <c r="B42" s="693" t="s">
        <v>398</v>
      </c>
      <c r="C42" s="693"/>
      <c r="D42" s="693"/>
      <c r="E42" s="695" t="str">
        <f>Table_1_UK!$A$1&amp;" Head "&amp;Table_1_UK!A56</f>
        <v>Table 1: Head 19</v>
      </c>
      <c r="F42" s="695"/>
      <c r="G42" s="270" t="s">
        <v>366</v>
      </c>
      <c r="H42" s="271" t="str">
        <f>IF(AND(Table_1_UK!H56="Yes",(Table_9_UK!H6+Table_9_UK!H7+Table_9_UK!H8+Table_9_UK!H9+Table_9_UK!H10+Table_9_UK!H11+Table_9_UK!H15+Table_9_UK!H16+Table_9_UK!H17+Table_9_UK!H18+Table_9_UK!H19+Table_9_UK!H24+Table_9_UK!H25+Table_9_UK!H26+Table_9_UK!H27+Table_9_UK!H28+Table_9_UK!H32+Table_9_UK!H36+Table_9_UK!H37+Table_9_UK!H38+Table_9_UK!H39+Table_9_UK!H44+Table_9_UK!H45+Table_9_UK!H46+Table_9_UK!H47+Table_9_UK!H49+Table_9_UK!H53+Table_9_UK!H54=0)),"FAIL","PASS")</f>
        <v>PASS</v>
      </c>
      <c r="I42" s="272" t="str">
        <f>IF(AND(Table_1_UK!H56="Yes",(Table_9_UK!H6+Table_9_UK!H7+Table_9_UK!H8+Table_9_UK!H9+Table_9_UK!H10+Table_9_UK!H11+Table_9_UK!H15+Table_9_UK!H16+Table_9_UK!H17+Table_9_UK!H18+Table_9_UK!H19+Table_9_UK!H24+Table_9_UK!H25+Table_9_UK!H26+Table_9_UK!H27+Table_9_UK!H28+Table_9_UK!H32+Table_9_UK!H36+Table_9_UK!H37+Table_9_UK!H38+Table_9_UK!H39+Table_9_UK!H44+Table_9_UK!H45+Table_9_UK!H46+Table_9_UK!H47+Table_9_UK!H49+Table_9_UK!H53+Table_9_UK!H54=0)),"Head "&amp;Table_1_UK!A56&amp;" (Yes)","")</f>
        <v/>
      </c>
      <c r="J42" s="277" t="str">
        <f>Table_1_UK!H56</f>
        <v>Yes</v>
      </c>
      <c r="K42" s="207">
        <f t="shared" si="0"/>
        <v>0</v>
      </c>
      <c r="L42" s="207">
        <f t="shared" si="1"/>
        <v>0</v>
      </c>
    </row>
    <row r="43" spans="1:12" customFormat="1" ht="37.35" customHeight="1" x14ac:dyDescent="0.25">
      <c r="A43" s="176" t="s">
        <v>399</v>
      </c>
      <c r="B43" s="693" t="s">
        <v>400</v>
      </c>
      <c r="C43" s="693"/>
      <c r="D43" s="693"/>
      <c r="E43" s="695" t="str">
        <f>Table_1_UK!$A$1&amp;" Head "&amp;Table_1_UK!A56</f>
        <v>Table 1: Head 19</v>
      </c>
      <c r="F43" s="695"/>
      <c r="G43" s="270" t="s">
        <v>366</v>
      </c>
      <c r="H43" s="271" t="str">
        <f>IF(AND(Table_1_UK!I56="Yes",(Table_9_UK!I6+Table_9_UK!I7+Table_9_UK!I8+Table_9_UK!I9+Table_9_UK!I10+Table_9_UK!I11+Table_9_UK!I15+Table_9_UK!I16+Table_9_UK!I17+Table_9_UK!I18+Table_9_UK!I19+Table_9_UK!I24+Table_9_UK!I25+Table_9_UK!I26+Table_9_UK!I27+Table_9_UK!I28+Table_9_UK!I32+Table_9_UK!I36+Table_9_UK!I37+Table_9_UK!I38+Table_9_UK!I39+Table_9_UK!I44+Table_9_UK!I45+Table_9_UK!I46+Table_9_UK!I47+Table_9_UK!I49+Table_9_UK!I53+Table_9_UK!I54=0)),"FAIL","PASS")</f>
        <v>PASS</v>
      </c>
      <c r="I43" s="272" t="str">
        <f>IF(AND(Table_1_UK!I56="Yes",(Table_9_UK!I6+Table_9_UK!I7+Table_9_UK!I8+Table_9_UK!I9+Table_9_UK!I10+Table_9_UK!I11+Table_9_UK!I15+Table_9_UK!I16+Table_9_UK!I17+Table_9_UK!I18+Table_9_UK!I19+Table_9_UK!I24+Table_9_UK!I25+Table_9_UK!I26+Table_9_UK!I27+Table_9_UK!I28+Table_9_UK!I32+Table_9_UK!I36+Table_9_UK!I37+Table_9_UK!I38+Table_9_UK!I39+Table_9_UK!I44+Table_9_UK!I45+Table_9_UK!I46+Table_9_UK!I47+Table_9_UK!I49+Table_9_UK!I53+Table_9_UK!I54=0)),"Head "&amp;Table_1_UK!A56&amp;" (Yes)","")</f>
        <v/>
      </c>
      <c r="J43" s="277" t="str">
        <f>Table_1_UK!I56</f>
        <v>Yes</v>
      </c>
      <c r="K43" s="207">
        <f t="shared" si="0"/>
        <v>0</v>
      </c>
      <c r="L43" s="207">
        <f t="shared" si="1"/>
        <v>0</v>
      </c>
    </row>
    <row r="44" spans="1:12" customFormat="1" ht="15.6" customHeight="1" x14ac:dyDescent="0.25">
      <c r="A44" s="176" t="s">
        <v>401</v>
      </c>
      <c r="B44" s="693" t="s">
        <v>402</v>
      </c>
      <c r="C44" s="693"/>
      <c r="D44" s="693"/>
      <c r="E44" s="695" t="str">
        <f>Table_2_UK!$A$1&amp;" Head "&amp;Table_2_UK!A70</f>
        <v>Table 2: Head 14</v>
      </c>
      <c r="F44" s="695"/>
      <c r="G44" s="270" t="s">
        <v>361</v>
      </c>
      <c r="H44" s="271" t="str">
        <f>IF(Table_2_UK!H70&lt;&gt;0,"PASS","FAIL")</f>
        <v>PASS</v>
      </c>
      <c r="I44" s="272" t="str">
        <f>IF(Table_2_UK!H70&lt;&gt;0,"","Head "&amp;Table_2_UK!A70&amp;" ("&amp;Title_Page!J44&amp;")")</f>
        <v/>
      </c>
      <c r="J44" s="273">
        <f>Table_2_UK!H70</f>
        <v>2204368</v>
      </c>
      <c r="K44" s="207">
        <f t="shared" si="0"/>
        <v>0</v>
      </c>
      <c r="L44" s="207">
        <f t="shared" si="1"/>
        <v>0</v>
      </c>
    </row>
    <row r="45" spans="1:12" customFormat="1" ht="15.6" customHeight="1" x14ac:dyDescent="0.25">
      <c r="A45" s="176" t="s">
        <v>403</v>
      </c>
      <c r="B45" s="693" t="s">
        <v>404</v>
      </c>
      <c r="C45" s="693"/>
      <c r="D45" s="693"/>
      <c r="E45" s="695" t="str">
        <f>Table_2_UK!$A$1&amp;" Head "&amp;Table_2_UK!A70</f>
        <v>Table 2: Head 14</v>
      </c>
      <c r="F45" s="695"/>
      <c r="G45" s="270" t="s">
        <v>361</v>
      </c>
      <c r="H45" s="271" t="str">
        <f>IF(Table_2_UK!I70&lt;&gt;0,"PASS","FAIL")</f>
        <v>PASS</v>
      </c>
      <c r="I45" s="272" t="str">
        <f>IF(Table_2_UK!I70&lt;&gt;0,"","Head "&amp;Table_2_UK!A70&amp;" ("&amp;Title_Page!J45&amp;")")</f>
        <v/>
      </c>
      <c r="J45" s="273">
        <f>Table_2_UK!I70</f>
        <v>2054658</v>
      </c>
      <c r="K45" s="207">
        <f t="shared" si="0"/>
        <v>0</v>
      </c>
      <c r="L45" s="207">
        <f t="shared" si="1"/>
        <v>0</v>
      </c>
    </row>
    <row r="46" spans="1:12" customFormat="1" ht="15.6" customHeight="1" x14ac:dyDescent="0.25">
      <c r="A46" s="176" t="s">
        <v>405</v>
      </c>
      <c r="B46" s="693" t="s">
        <v>406</v>
      </c>
      <c r="C46" s="693"/>
      <c r="D46" s="693"/>
      <c r="E46" s="695" t="str">
        <f>Table_2_UK!$A$1&amp;" Head "&amp;Table_2_UK!A16</f>
        <v>Table 2: Head 1k</v>
      </c>
      <c r="F46" s="695"/>
      <c r="G46" s="270" t="s">
        <v>361</v>
      </c>
      <c r="H46" s="271" t="str">
        <f>IF(Table_2_UK!H16&lt;&gt;0,"PASS","FAIL")</f>
        <v>PASS</v>
      </c>
      <c r="I46" s="272" t="str">
        <f>IF(Table_2_UK!H16&lt;&gt;0,"","Head "&amp;Table_2_UK!A16&amp;" ("&amp;Title_Page!J46&amp;")")</f>
        <v/>
      </c>
      <c r="J46" s="273">
        <f>Table_2_UK!H16</f>
        <v>2630170</v>
      </c>
      <c r="K46" s="207">
        <f t="shared" si="0"/>
        <v>0</v>
      </c>
      <c r="L46" s="207">
        <f t="shared" si="1"/>
        <v>0</v>
      </c>
    </row>
    <row r="47" spans="1:12" customFormat="1" ht="15.6" customHeight="1" x14ac:dyDescent="0.25">
      <c r="A47" s="176" t="s">
        <v>407</v>
      </c>
      <c r="B47" s="693" t="s">
        <v>408</v>
      </c>
      <c r="C47" s="693"/>
      <c r="D47" s="693"/>
      <c r="E47" s="695" t="str">
        <f>Table_2_UK!$A$1&amp;" Head "&amp;Table_2_UK!A16</f>
        <v>Table 2: Head 1k</v>
      </c>
      <c r="F47" s="695"/>
      <c r="G47" s="270" t="s">
        <v>361</v>
      </c>
      <c r="H47" s="271" t="str">
        <f>IF(Table_2_UK!I16&lt;&gt;0,"PASS","FAIL")</f>
        <v>PASS</v>
      </c>
      <c r="I47" s="272" t="str">
        <f>IF(Table_2_UK!I16&lt;&gt;0,"","Head "&amp;Table_2_UK!A16&amp;" ("&amp;Title_Page!J47&amp;")")</f>
        <v/>
      </c>
      <c r="J47" s="273">
        <f>Table_2_UK!I16</f>
        <v>2850064</v>
      </c>
      <c r="K47" s="207">
        <f t="shared" si="0"/>
        <v>0</v>
      </c>
      <c r="L47" s="207">
        <f t="shared" si="1"/>
        <v>0</v>
      </c>
    </row>
    <row r="48" spans="1:12" customFormat="1" ht="15.6" customHeight="1" x14ac:dyDescent="0.25">
      <c r="A48" s="176" t="s">
        <v>409</v>
      </c>
      <c r="B48" s="693" t="s">
        <v>410</v>
      </c>
      <c r="C48" s="693"/>
      <c r="D48" s="693"/>
      <c r="E48" s="695" t="str">
        <f>Table_2_UK!$A$1&amp;" Head "&amp;Table_2_UK!A26</f>
        <v>Table 2: Head 2h</v>
      </c>
      <c r="F48" s="695"/>
      <c r="G48" s="270" t="s">
        <v>361</v>
      </c>
      <c r="H48" s="271" t="str">
        <f>IF(Table_2_UK!H26&lt;&gt;0,"PASS","FAIL")</f>
        <v>PASS</v>
      </c>
      <c r="I48" s="272" t="str">
        <f>IF(Table_2_UK!H26&lt;&gt;0,"","Head "&amp;Table_2_UK!A26&amp;" ("&amp;Title_Page!J48&amp;")")</f>
        <v/>
      </c>
      <c r="J48" s="273">
        <f>Table_2_UK!H26</f>
        <v>877546</v>
      </c>
      <c r="K48" s="207">
        <f t="shared" si="0"/>
        <v>0</v>
      </c>
      <c r="L48" s="207">
        <f t="shared" si="1"/>
        <v>0</v>
      </c>
    </row>
    <row r="49" spans="1:12" customFormat="1" ht="15.6" customHeight="1" x14ac:dyDescent="0.25">
      <c r="A49" s="176" t="s">
        <v>411</v>
      </c>
      <c r="B49" s="693" t="s">
        <v>412</v>
      </c>
      <c r="C49" s="693"/>
      <c r="D49" s="693"/>
      <c r="E49" s="695" t="str">
        <f>Table_2_UK!$A$1&amp;" Head "&amp;Table_2_UK!A26</f>
        <v>Table 2: Head 2h</v>
      </c>
      <c r="F49" s="695"/>
      <c r="G49" s="270" t="s">
        <v>361</v>
      </c>
      <c r="H49" s="271" t="str">
        <f>IF(Table_2_UK!I26&lt;&gt;0,"PASS","FAIL")</f>
        <v>PASS</v>
      </c>
      <c r="I49" s="272" t="str">
        <f>IF(Table_2_UK!I26&lt;&gt;0,"","Head "&amp;Table_2_UK!A26&amp;" ("&amp;Title_Page!J49&amp;")")</f>
        <v/>
      </c>
      <c r="J49" s="273">
        <f>Table_2_UK!I26</f>
        <v>587854</v>
      </c>
      <c r="K49" s="207">
        <f t="shared" si="0"/>
        <v>0</v>
      </c>
      <c r="L49" s="207">
        <f t="shared" si="1"/>
        <v>0</v>
      </c>
    </row>
    <row r="50" spans="1:12" customFormat="1" ht="15.6" customHeight="1" x14ac:dyDescent="0.25">
      <c r="A50" s="176" t="s">
        <v>413</v>
      </c>
      <c r="B50" s="693" t="s">
        <v>414</v>
      </c>
      <c r="C50" s="693"/>
      <c r="D50" s="693"/>
      <c r="E50" s="695" t="str">
        <f>Table_2_UK!$A$1&amp;" Head "&amp;Table_2_UK!A37</f>
        <v>Table 2: Head 3i</v>
      </c>
      <c r="F50" s="695"/>
      <c r="G50" s="270" t="s">
        <v>366</v>
      </c>
      <c r="H50" s="271" t="str">
        <f>IF(Table_2_UK!H37&lt;&gt;0,"PASS","FAIL")</f>
        <v>PASS</v>
      </c>
      <c r="I50" s="272" t="str">
        <f>IF(Table_2_UK!H37&lt;&gt;0,"","Head "&amp;Table_2_UK!A37&amp;" ("&amp;Title_Page!J50&amp;")")</f>
        <v/>
      </c>
      <c r="J50" s="273">
        <f>Table_2_UK!H37</f>
        <v>353675</v>
      </c>
      <c r="K50" s="207">
        <f t="shared" si="0"/>
        <v>0</v>
      </c>
      <c r="L50" s="207">
        <f t="shared" si="1"/>
        <v>0</v>
      </c>
    </row>
    <row r="51" spans="1:12" customFormat="1" ht="15.6" customHeight="1" x14ac:dyDescent="0.25">
      <c r="A51" s="176" t="s">
        <v>415</v>
      </c>
      <c r="B51" s="693" t="s">
        <v>416</v>
      </c>
      <c r="C51" s="693"/>
      <c r="D51" s="693"/>
      <c r="E51" s="695" t="str">
        <f>Table_2_UK!$A$1&amp;" Head "&amp;Table_2_UK!A37</f>
        <v>Table 2: Head 3i</v>
      </c>
      <c r="F51" s="695"/>
      <c r="G51" s="270" t="s">
        <v>366</v>
      </c>
      <c r="H51" s="271" t="str">
        <f>IF(Table_2_UK!I37&lt;&gt;0,"PASS","FAIL")</f>
        <v>PASS</v>
      </c>
      <c r="I51" s="272" t="str">
        <f>IF(Table_2_UK!I37&lt;&gt;0,"","Head "&amp;Table_2_UK!A37&amp;" ("&amp;Title_Page!J51&amp;")")</f>
        <v/>
      </c>
      <c r="J51" s="273">
        <f>Table_2_UK!I37</f>
        <v>345329</v>
      </c>
      <c r="K51" s="207">
        <f t="shared" si="0"/>
        <v>0</v>
      </c>
      <c r="L51" s="207">
        <f t="shared" si="1"/>
        <v>0</v>
      </c>
    </row>
    <row r="52" spans="1:12" customFormat="1" ht="15.4" customHeight="1" x14ac:dyDescent="0.25">
      <c r="A52" s="176" t="s">
        <v>417</v>
      </c>
      <c r="B52" s="693" t="s">
        <v>418</v>
      </c>
      <c r="C52" s="693"/>
      <c r="D52" s="693"/>
      <c r="E52" s="695" t="str">
        <f>Table_2_UK!$A$1&amp;" Head "&amp;Table_2_UK!A58&amp;", "&amp;Table_2_UK!A70</f>
        <v>Table 2: Head 9, 14</v>
      </c>
      <c r="F52" s="695"/>
      <c r="G52" s="270" t="s">
        <v>361</v>
      </c>
      <c r="H52" s="276" t="str">
        <f>IF(Table_2_UK!H58=Table_2_UK!H70,"PASS","FAIL")</f>
        <v>PASS</v>
      </c>
      <c r="I52" s="272" t="str">
        <f>IF(Table_2_UK!H58=Table_2_UK!H70,"","Head "&amp;Table_2_UK!A58&amp;", "&amp;Table_2_UK!A70&amp;" ("&amp;Title_Page!J52&amp;")")</f>
        <v/>
      </c>
      <c r="J52" s="273" t="str">
        <f>(Table_2_UK!H58&amp;", "&amp;Table_2_UK!H70)</f>
        <v>2204368, 2204368</v>
      </c>
      <c r="K52" s="207">
        <f t="shared" si="0"/>
        <v>0</v>
      </c>
      <c r="L52" s="207">
        <f t="shared" si="1"/>
        <v>0</v>
      </c>
    </row>
    <row r="53" spans="1:12" customFormat="1" ht="15.4" customHeight="1" x14ac:dyDescent="0.25">
      <c r="A53" s="176" t="s">
        <v>419</v>
      </c>
      <c r="B53" s="693" t="s">
        <v>420</v>
      </c>
      <c r="C53" s="693"/>
      <c r="D53" s="693"/>
      <c r="E53" s="695" t="str">
        <f>Table_2_UK!$A$1&amp;" Head "&amp;Table_2_UK!A58&amp;", "&amp;Table_2_UK!A70</f>
        <v>Table 2: Head 9, 14</v>
      </c>
      <c r="F53" s="695"/>
      <c r="G53" s="270" t="s">
        <v>361</v>
      </c>
      <c r="H53" s="276" t="str">
        <f>IF(Table_2_UK!I58=Table_2_UK!I70,"PASS","FAIL")</f>
        <v>PASS</v>
      </c>
      <c r="I53" s="272" t="str">
        <f>IF(Table_2_UK!I58=Table_2_UK!I70,"","Head "&amp;Table_2_UK!A58&amp;", "&amp;Table_2_UK!A70&amp;" ("&amp;Title_Page!J53&amp;")")</f>
        <v/>
      </c>
      <c r="J53" s="273" t="str">
        <f>(Table_2_UK!I58&amp;", "&amp;Table_2_UK!I70)</f>
        <v>2054658, 2054658</v>
      </c>
      <c r="K53" s="207">
        <f t="shared" si="0"/>
        <v>0</v>
      </c>
      <c r="L53" s="207">
        <f t="shared" si="1"/>
        <v>0</v>
      </c>
    </row>
    <row r="54" spans="1:12" customFormat="1" ht="15.6" customHeight="1" x14ac:dyDescent="0.25">
      <c r="A54" s="176" t="s">
        <v>421</v>
      </c>
      <c r="B54" s="693" t="s">
        <v>422</v>
      </c>
      <c r="C54" s="693"/>
      <c r="D54" s="693"/>
      <c r="E54" s="695" t="str">
        <f>Table_2_UK!$A$1&amp;" Head "&amp;Table_2_UK!A8</f>
        <v>Table 2: Head 1c</v>
      </c>
      <c r="F54" s="695"/>
      <c r="G54" s="271" t="s">
        <v>361</v>
      </c>
      <c r="H54" s="271" t="str">
        <f>IF(Table_2_UK!H8&lt;=0,"PASS","FAIL")</f>
        <v>PASS</v>
      </c>
      <c r="I54" s="272" t="str">
        <f>IF(Table_2_UK!H8&lt;=0,"","Head "&amp;Table_2_UK!A8&amp;" ("&amp;Title_Page!J54&amp;")")</f>
        <v/>
      </c>
      <c r="J54" s="273">
        <f>Table_2_UK!H8</f>
        <v>0</v>
      </c>
      <c r="K54" s="207">
        <f t="shared" si="0"/>
        <v>0</v>
      </c>
      <c r="L54" s="207">
        <f t="shared" si="1"/>
        <v>0</v>
      </c>
    </row>
    <row r="55" spans="1:12" customFormat="1" ht="15.6" customHeight="1" x14ac:dyDescent="0.25">
      <c r="A55" s="176" t="s">
        <v>423</v>
      </c>
      <c r="B55" s="693" t="s">
        <v>424</v>
      </c>
      <c r="C55" s="693"/>
      <c r="D55" s="693"/>
      <c r="E55" s="695" t="str">
        <f>Table_2_UK!$A$1&amp;" Head "&amp;Table_2_UK!A8</f>
        <v>Table 2: Head 1c</v>
      </c>
      <c r="F55" s="695"/>
      <c r="G55" s="271" t="s">
        <v>361</v>
      </c>
      <c r="H55" s="271" t="str">
        <f>IF(Table_2_UK!I8&lt;=0,"PASS","FAIL")</f>
        <v>PASS</v>
      </c>
      <c r="I55" s="272" t="str">
        <f>IF(Table_2_UK!I8&lt;=0,"","Head "&amp;Table_2_UK!A8&amp;" ("&amp;Title_Page!J55&amp;")")</f>
        <v/>
      </c>
      <c r="J55" s="273">
        <f>Table_2_UK!I8</f>
        <v>0</v>
      </c>
      <c r="K55" s="207">
        <f t="shared" si="0"/>
        <v>0</v>
      </c>
      <c r="L55" s="207">
        <f t="shared" si="1"/>
        <v>0</v>
      </c>
    </row>
    <row r="56" spans="1:12" customFormat="1" ht="15.6" customHeight="1" x14ac:dyDescent="0.25">
      <c r="A56" s="176" t="s">
        <v>425</v>
      </c>
      <c r="B56" s="693" t="s">
        <v>426</v>
      </c>
      <c r="C56" s="693"/>
      <c r="D56" s="693"/>
      <c r="E56" s="695" t="str">
        <f>Table_2_UK!$A$1&amp;" Head "&amp;Table_2_UK!A10</f>
        <v>Table 2: Head 1e</v>
      </c>
      <c r="F56" s="695"/>
      <c r="G56" s="270" t="s">
        <v>361</v>
      </c>
      <c r="H56" s="271" t="str">
        <f>IF(Table_2_UK!H10&lt;&gt;0,"PASS","FAIL")</f>
        <v>PASS</v>
      </c>
      <c r="I56" s="272" t="str">
        <f>IF(Table_2_UK!H10&lt;&gt;0,"","Head "&amp;Table_2_UK!A10&amp;" ("&amp;Title_Page!J56&amp;")")</f>
        <v/>
      </c>
      <c r="J56" s="277">
        <f>Table_2_UK!H10</f>
        <v>1840547</v>
      </c>
      <c r="K56" s="207">
        <f t="shared" ref="K56:K87" si="2">IF(AND(G56="Error",H56="FAIL"),1,0)</f>
        <v>0</v>
      </c>
      <c r="L56" s="207">
        <f t="shared" ref="L56:L87" si="3">IF(AND(G56="Warning",H56="FAIL"),1,0)</f>
        <v>0</v>
      </c>
    </row>
    <row r="57" spans="1:12" customFormat="1" ht="15.6" customHeight="1" x14ac:dyDescent="0.25">
      <c r="A57" s="176" t="s">
        <v>427</v>
      </c>
      <c r="B57" s="693" t="s">
        <v>428</v>
      </c>
      <c r="C57" s="693"/>
      <c r="D57" s="693"/>
      <c r="E57" s="695" t="str">
        <f>Table_2_UK!$A$1&amp;" Head "&amp;Table_2_UK!A10</f>
        <v>Table 2: Head 1e</v>
      </c>
      <c r="F57" s="695"/>
      <c r="G57" s="270" t="s">
        <v>361</v>
      </c>
      <c r="H57" s="271" t="str">
        <f>IF(Table_2_UK!I10&lt;&gt;0,"PASS","FAIL")</f>
        <v>PASS</v>
      </c>
      <c r="I57" s="272" t="str">
        <f>IF(Table_2_UK!I10&lt;&gt;0,"","Head "&amp;Table_2_UK!A10&amp;" ("&amp;Title_Page!J57&amp;")")</f>
        <v/>
      </c>
      <c r="J57" s="277">
        <f>Table_2_UK!I10</f>
        <v>1818252</v>
      </c>
      <c r="K57" s="207">
        <f t="shared" si="2"/>
        <v>0</v>
      </c>
      <c r="L57" s="207">
        <f t="shared" si="3"/>
        <v>0</v>
      </c>
    </row>
    <row r="58" spans="1:12" customFormat="1" ht="47.25" customHeight="1" x14ac:dyDescent="0.25">
      <c r="A58" s="170" t="s">
        <v>429</v>
      </c>
      <c r="B58" s="693" t="s">
        <v>430</v>
      </c>
      <c r="C58" s="693"/>
      <c r="D58" s="693"/>
      <c r="E58" s="695" t="str">
        <f>Table_2_UK!$A$1&amp;" Head "&amp;Table_2_UK!A6&amp;", "&amp;Table_2_UK!A7&amp;", "&amp;Table_2_UK!A8&amp;", "&amp;Table_2_UK!A10&amp;", "&amp;Table_2_UK!A11&amp;", "&amp;Table_2_UK!A12&amp;", "&amp;Table_2_UK!A14&amp;", "&amp;Table_2_UK!A15&amp;", "&amp;Table_2_UK!A19&amp;", "&amp;Table_2_UK!A20&amp;", "&amp;Table_2_UK!A21&amp;", "&amp;Table_2_UK!A24&amp;", "&amp;Table_2_UK!A25&amp;", "&amp;Table_2_UK!A29&amp;", "&amp;Table_2_UK!A30&amp;", "&amp;Table_2_UK!A31&amp;", "&amp;Table_2_UK!A32&amp;", "&amp;Table_2_UK!A34&amp;", "&amp;Table_2_UK!A36&amp;", "&amp;Table_2_UK!A39&amp;", "&amp;Table_2_UK!A46&amp;", "&amp;Table_2_UK!A47&amp;", "&amp;Table_2_UK!A48&amp;", "&amp;Table_2_UK!A50&amp;", "&amp;Table_2_UK!A54&amp;", "&amp;Table_2_UK!A55&amp;", "&amp;Table_2_UK!A61&amp;", "&amp;Table_2_UK!A62&amp;", "&amp;Table_2_UK!A64&amp;", "&amp;Table_2_UK!A65&amp;", "&amp;Table_2_UK!A68</f>
        <v>Table 2: Head 1a, 1b, 1c, 1e, 1f, 1g, 1i, 1j, 2a, 2b, 2c, 2f, 2g, 3a, 3b, 3c, 3d, 3f, 3h, 4, 7a, 7b, 7c, 7e, 8a, 8b, 10a, 10b, 11a, 11b, 13</v>
      </c>
      <c r="F58" s="695"/>
      <c r="G58" s="271" t="s">
        <v>366</v>
      </c>
      <c r="H58" s="276" t="str">
        <f>IF(OR(AND(Table_2_UK!K6&gt;750,Table_2_UK!L6&gt;2),AND(Table_2_UK!K6&lt;-750,Table_2_UK!L6&gt;2),AND(Table_2_UK!K7&gt;750,Table_2_UK!L7&gt;2),AND(Table_2_UK!K7&lt;-750,Table_2_UK!L7&gt;2),AND(Table_2_UK!K8&gt;750,Table_2_UK!L8&gt;2),AND(Table_2_UK!K8&lt;-750,Table_2_UK!L8&gt;2),AND(Table_2_UK!K10&gt;750,Table_2_UK!L10&gt;2),AND(Table_2_UK!K10&lt;-750,Table_2_UK!L10&gt;2),AND(Table_2_UK!K11&gt;750,Table_2_UK!L11&gt;2),AND(Table_2_UK!K11&lt;-750,Table_2_UK!L11&gt;2),AND(Table_2_UK!K12&gt;750,Table_2_UK!L12&gt;2),AND(Table_2_UK!K12&lt;-750,Table_2_UK!L12&gt;2),AND(Table_2_UK!K14&gt;750,Table_2_UK!L14&gt;2),AND(Table_2_UK!K14&lt;-750,Table_2_UK!L14&gt;2),AND(Table_2_UK!K15&gt;750,Table_2_UK!L15&gt;2),AND(Table_2_UK!K15&lt;-750,Table_2_UK!L15&gt;2),AND(Table_2_UK!K19&gt;750,Table_2_UK!L19&gt;2),AND(Table_2_UK!K19&lt;-750,Table_2_UK!L19&gt;2),AND(Table_2_UK!K20&gt;750,Table_2_UK!L20&gt;2),AND(Table_2_UK!K20&lt;-750,Table_2_UK!L20&gt;2),AND(Table_2_UK!K21&gt;750,Table_2_UK!L21&gt;2),AND(Table_2_UK!K21&lt;-750,Table_2_UK!L21&gt;2),AND(Table_2_UK!K24&gt;750,Table_2_UK!L24&gt;2),AND(Table_2_UK!K24&lt;-750,Table_2_UK!L24&gt;2),AND(Table_2_UK!K25&gt;750,Table_2_UK!L25&gt;2),AND(Table_2_UK!K25&lt;-750,Table_2_UK!L25&gt;2),AND(Table_2_UK!K29&gt;750,Table_2_UK!L29&gt;2),AND(Table_2_UK!K29&lt;-750,Table_2_UK!L29&gt;2),AND(Table_2_UK!K30&gt;750,Table_2_UK!L30&gt;2),AND(Table_2_UK!K30&lt;-750,Table_2_UK!L30&gt;2),AND(Table_2_UK!K31&gt;750,Table_2_UK!L31&gt;2),AND(Table_2_UK!K31&lt;-750,Table_2_UK!L31&gt;2),AND(Table_2_UK!K32&gt;750,Table_2_UK!L32&gt;2),AND(Table_2_UK!K32&lt;-750,Table_2_UK!L32&gt;2),AND(Table_2_UK!K34&gt;750,Table_2_UK!L34&gt;2),AND(Table_2_UK!K34&lt;-750,Table_2_UK!L34&gt;2),AND(Table_2_UK!K36&gt;750,Table_2_UK!L36&gt;2),AND(Table_2_UK!K36&lt;-750,Table_2_UK!L36&gt;2),AND(Table_2_UK!K39&gt;750,Table_2_UK!L39&gt;2),AND(Table_2_UK!K39&lt;-750,Table_2_UK!L39&gt;2),AND(Table_2_UK!K46&gt;750,Table_2_UK!L46&gt;2),AND(Table_2_UK!K46&lt;-750,Table_2_UK!L46&gt;2),AND(Table_2_UK!K47&gt;750,Table_2_UK!L47&gt;2),AND(Table_2_UK!K47&lt;-750,Table_2_UK!L47&gt;2),AND(Table_2_UK!K48&gt;750,Table_2_UK!L48&gt;2),AND(Table_2_UK!K48&lt;-750,Table_2_UK!L48&gt;2),AND(Table_2_UK!K50&gt;750,Table_2_UK!L50&gt;2),AND(Table_2_UK!K50&lt;-750,Table_2_UK!L50&gt;2),AND(Table_2_UK!K54&gt;750,Table_2_UK!L54&gt;2),AND(Table_2_UK!K54&lt;-750,Table_2_UK!L54&gt;2),AND(Table_2_UK!K55&gt;750,Table_2_UK!L55&gt;2),AND(Table_2_UK!K55&lt;-750,Table_2_UK!L55&gt;2),AND(Table_2_UK!K61&gt;750,Table_2_UK!L61&gt;2),AND(Table_2_UK!K61&lt;-750,Table_2_UK!L61&gt;2),AND(Table_2_UK!K62&gt;750,Table_2_UK!L62&gt;2),AND(Table_2_UK!K62&lt;-750,Table_2_UK!L62&gt;2),AND(Table_2_UK!K64&gt;750,Table_2_UK!L64&gt;2),AND(Table_2_UK!K64&lt;-750,Table_2_UK!L64&gt;2),AND(Table_2_UK!K65&gt;750,Table_2_UK!L65&gt;2),AND(Table_2_UK!K65&lt;-750,Table_2_UK!L65&gt;2),AND(Table_2_UK!K68&gt;750,Table_2_UK!L68&gt;2),AND(Table_2_UK!K68&lt;-750,Table_2_UK!L68&gt;2)),"FAIL","PASS")</f>
        <v>FAIL</v>
      </c>
      <c r="I58" s="272" t="str">
        <f>IF(Table_2_UK!S1="FAIL",CONCATENATE(Table_2_UK!S5," ",Table_2_UK!S6,Table_2_UK!S7,Table_2_UK!S8,Table_2_UK!S10,Table_2_UK!S11,Table_2_UK!S12,Table_2_UK!S14,Table_2_UK!S15,Table_2_UK!S19,Table_2_UK!S20,Table_2_UK!S21,Table_2_UK!S24,Table_2_UK!S25,Table_2_UK!S29,Table_2_UK!S30,Table_2_UK!S31,Table_2_UK!S32,Table_2_UK!S34,Table_2_UK!S36,Table_2_UK!S39,Table_2_UK!S46,Table_2_UK!S47,Table_2_UK!S48,Table_2_UK!S50,Table_2_UK!S54,Table_2_UK!S55,Table_2_UK!S61,Table_2_UK!S62,Table_2_UK!S64,Table_2_UK!S65,Table_2_UK!S68),"")</f>
        <v xml:space="preserve">Head 1a (9332, 254), </v>
      </c>
      <c r="J58" s="277" t="str">
        <f>Table_2_UK!H6&amp;", "&amp;Table_2_UK!H7&amp;", "&amp;Table_2_UK!H8&amp;", "&amp;Table_2_UK!H10&amp;", "&amp;Table_2_UK!H11&amp;", "&amp;Table_2_UK!H12&amp;", "&amp;Table_2_UK!H14&amp;", "&amp;Table_2_UK!H15&amp;", "&amp;Table_2_UK!H19&amp;", "&amp;Table_2_UK!H20&amp;", "&amp;Table_2_UK!H21&amp;", "&amp;Table_2_UK!H24&amp;", "&amp;Table_2_UK!H25&amp;", "&amp;Table_2_UK!H29&amp;", "&amp;Table_2_UK!H30&amp;", "&amp;Table_2_UK!H31&amp;", "&amp;Table_2_UK!H32&amp;", "&amp;Table_2_UK!H34&amp;", "&amp;Table_2_UK!H36&amp;", "&amp;Table_2_UK!H39&amp;", "&amp;Table_2_UK!H46&amp;", "&amp;Table_2_UK!H47&amp;", "&amp;Table_2_UK!H48&amp;", "&amp;Table_2_UK!H50&amp;", "&amp;Table_2_UK!H54&amp;", "&amp;Table_2_UK!H55&amp;", "&amp;Table_2_UK!H61&amp;", "&amp;Table_2_UK!H62&amp;", "&amp;Table_2_UK!H64&amp;", "&amp;Table_2_UK!H65&amp;", "&amp;Table_2_UK!H68</f>
        <v>9332, 0, 0, 1840547, 214748, 565543, 0, 0, 3166, 178395, 204486, 0, 0, 0, 4504, 373, 0, 1655, 347143, 0, 586776, 331, 11011, 100, 350375, 1080, 487781, 54855, 1453517, 208215, 0</v>
      </c>
      <c r="K58" s="207">
        <f t="shared" si="2"/>
        <v>0</v>
      </c>
      <c r="L58" s="207">
        <f t="shared" si="3"/>
        <v>1</v>
      </c>
    </row>
    <row r="59" spans="1:12" customFormat="1" ht="47.25" customHeight="1" x14ac:dyDescent="0.25">
      <c r="A59" s="170" t="s">
        <v>431</v>
      </c>
      <c r="B59" s="693" t="s">
        <v>432</v>
      </c>
      <c r="C59" s="693"/>
      <c r="D59" s="693"/>
      <c r="E59" s="695" t="str">
        <f>Table_2_UK!$A$1&amp;" Head "&amp;Table_2_UK!A6&amp;", "&amp;Table_2_UK!A7&amp;", "&amp;Table_2_UK!A8&amp;", "&amp;Table_2_UK!A10&amp;", "&amp;Table_2_UK!A11&amp;", "&amp;Table_2_UK!A12&amp;", "&amp;Table_2_UK!A14&amp;", "&amp;Table_2_UK!A15&amp;", "&amp;Table_2_UK!A19&amp;", "&amp;Table_2_UK!A20&amp;", "&amp;Table_2_UK!A21&amp;", "&amp;Table_2_UK!A24&amp;", "&amp;Table_2_UK!A25&amp;", "&amp;Table_2_UK!A29&amp;", "&amp;Table_2_UK!A30&amp;", "&amp;Table_2_UK!A31&amp;", "&amp;Table_2_UK!A32&amp;", "&amp;Table_2_UK!A34&amp;", "&amp;Table_2_UK!A36&amp;", "&amp;Table_2_UK!A39&amp;", "&amp;Table_2_UK!A46&amp;", "&amp;Table_2_UK!A47&amp;", "&amp;Table_2_UK!A48&amp;", "&amp;Table_2_UK!A50&amp;", "&amp;Table_2_UK!A54&amp;", "&amp;Table_2_UK!A55&amp;", "&amp;Table_2_UK!A61&amp;", "&amp;Table_2_UK!A62&amp;", "&amp;Table_2_UK!A64&amp;", "&amp;Table_2_UK!A65&amp;", "&amp;Table_2_UK!A68</f>
        <v>Table 2: Head 1a, 1b, 1c, 1e, 1f, 1g, 1i, 1j, 2a, 2b, 2c, 2f, 2g, 3a, 3b, 3c, 3d, 3f, 3h, 4, 7a, 7b, 7c, 7e, 8a, 8b, 10a, 10b, 11a, 11b, 13</v>
      </c>
      <c r="F59" s="695"/>
      <c r="G59" s="271" t="s">
        <v>366</v>
      </c>
      <c r="H59" s="276" t="str">
        <f>IF(OR(AND(Table_2_UK!I6&lt;&gt;Table_2_UK!J6),AND(Table_2_UK!I7&lt;&gt;Table_2_UK!J7),AND(Table_2_UK!I8&lt;&gt;Table_2_UK!J8),AND(Table_2_UK!I10&lt;&gt;Table_2_UK!J10),AND(Table_2_UK!I11&lt;&gt;Table_2_UK!J11),AND(Table_2_UK!I12&lt;&gt;Table_2_UK!J12),AND(Table_2_UK!I14&lt;&gt;Table_2_UK!J14),AND(Table_2_UK!I15&lt;&gt;Table_2_UK!J15),AND(Table_2_UK!I19&lt;&gt;Table_2_UK!J19),AND(Table_2_UK!I20&lt;&gt;Table_2_UK!J20),AND(Table_2_UK!I21&lt;&gt;Table_2_UK!J21),AND(Table_2_UK!I24&lt;&gt;Table_2_UK!J24),AND(Table_2_UK!I25&lt;&gt;Table_2_UK!J25),AND(Table_2_UK!I29&lt;&gt;Table_2_UK!J29),AND(Table_2_UK!I30&lt;&gt;Table_2_UK!J30),AND(Table_2_UK!I31&lt;&gt;Table_2_UK!J31),AND(Table_2_UK!I32&lt;&gt;Table_2_UK!J32),AND(Table_2_UK!I34&lt;&gt;Table_2_UK!J34),AND(Table_2_UK!I36&lt;&gt;Table_2_UK!J36),AND(Table_2_UK!I39&lt;&gt;Table_2_UK!J39),AND(Table_2_UK!I46&lt;&gt;Table_2_UK!J46),AND(Table_2_UK!I47&lt;&gt;Table_2_UK!J47),AND(Table_2_UK!I48&lt;&gt;Table_2_UK!J48),AND(Table_2_UK!I50&lt;&gt;Table_2_UK!J50),AND(Table_2_UK!I54&lt;&gt;Table_2_UK!J54),AND(Table_2_UK!I55&lt;&gt;Table_2_UK!J55),AND(Table_2_UK!I61&lt;&gt;Table_2_UK!J61),AND(Table_2_UK!I62&lt;&gt;Table_2_UK!J62),AND(Table_2_UK!I64&lt;&gt;Table_2_UK!J64),AND(Table_2_UK!I65&lt;&gt;Table_2_UK!J65),AND(Table_2_UK!I68&lt;&gt;Table_2_UK!J68)),"FAIL","PASS")</f>
        <v>FAIL</v>
      </c>
      <c r="I59" s="272" t="str">
        <f>IF(Table_2_UK!U1="FAIL",CONCATENATE(Table_2_UK!U5," ",Table_2_UK!U6,Table_2_UK!U7,Table_2_UK!U8,Table_2_UK!U10,Table_2_UK!U11,Table_2_UK!U12,Table_2_UK!U14,Table_2_UK!U15,Table_2_UK!U19,Table_2_UK!U20,Table_2_UK!U21,Table_2_UK!U24,Table_2_UK!U25,Table_2_UK!U29,Table_2_UK!U30,Table_2_UK!U31,Table_2_UK!U32,Table_2_UK!U34,Table_2_UK!U36,Table_2_UK!U39,Table_2_UK!U46,Table_2_UK!U47,Table_2_UK!U48,Table_2_UK!U50,Table_2_UK!U54,Table_2_UK!U55,Table_2_UK!U61,Table_2_UK!U62,Table_2_UK!U64,Table_2_UK!U65,Table_2_UK!U68),"")</f>
        <v xml:space="preserve">Head 1a (254, 0), 1e (1818252, 1818506), 8a (432317, 432917), 8b (600, 0), </v>
      </c>
      <c r="J59" s="277" t="str">
        <f>Table_2_UK!I6&amp;", "&amp;Table_2_UK!I7&amp;", "&amp;Table_2_UK!I8&amp;", "&amp;Table_2_UK!I10&amp;", "&amp;Table_2_UK!I11&amp;", "&amp;Table_2_UK!I12&amp;", "&amp;Table_2_UK!I14&amp;", "&amp;Table_2_UK!I15&amp;", "&amp;Table_2_UK!I19&amp;", "&amp;Table_2_UK!I20&amp;", "&amp;Table_2_UK!I21&amp;", "&amp;Table_2_UK!I24&amp;", "&amp;Table_2_UK!I25&amp;", "&amp;Table_2_UK!I29&amp;", "&amp;Table_2_UK!I30&amp;", "&amp;Table_2_UK!I31&amp;", "&amp;Table_2_UK!I32&amp;", "&amp;Table_2_UK!I34&amp;", "&amp;Table_2_UK!I36&amp;", "&amp;Table_2_UK!I39&amp;", "&amp;Table_2_UK!I46&amp;", "&amp;Table_2_UK!I47&amp;", "&amp;Table_2_UK!I48&amp;", "&amp;Table_2_UK!I50&amp;", "&amp;Table_2_UK!I54&amp;", "&amp;Table_2_UK!I55&amp;", "&amp;Table_2_UK!I61&amp;", "&amp;Table_2_UK!I62&amp;", "&amp;Table_2_UK!I64&amp;", "&amp;Table_2_UK!I65&amp;", "&amp;Table_2_UK!I68</f>
        <v>254, 0, 0, 1818252, 213942, 817616, 0, 0, 3220, 138727, 207411, 0, 0, 0, 2951, 269, 0, 1655, 340454, 0, 591474, 774, 12666, 100, 432317, 600, 459869, 45470, 1340734, 208585, 0</v>
      </c>
      <c r="K59" s="207">
        <f t="shared" si="2"/>
        <v>0</v>
      </c>
      <c r="L59" s="207">
        <f t="shared" si="3"/>
        <v>1</v>
      </c>
    </row>
    <row r="60" spans="1:12" customFormat="1" ht="30.6" customHeight="1" x14ac:dyDescent="0.25">
      <c r="A60" s="170" t="s">
        <v>433</v>
      </c>
      <c r="B60" s="693" t="s">
        <v>434</v>
      </c>
      <c r="C60" s="693"/>
      <c r="D60" s="693"/>
      <c r="E60" s="695" t="str">
        <f>Table_2_UK!$A$1&amp;" Head "&amp;Table_2_UK!A21&amp;", "&amp;Table_2_Scotland!$A$1&amp; " Head "&amp;Table_2_Scotland!A12</f>
        <v>Table 2: Head 2c, Table 2_S: Head 1f</v>
      </c>
      <c r="F60" s="695"/>
      <c r="G60" s="276" t="s">
        <v>361</v>
      </c>
      <c r="H60" s="276" t="str">
        <f>IF(AND($B$4="S",(Table_2_UK!H21&lt;&gt;Table_2_Scotland!H12)),"FAIL","PASS")</f>
        <v>PASS</v>
      </c>
      <c r="I60" s="272" t="str">
        <f>IF(AND($B$4="S",(Table_2_UK!H21&lt;&gt;Table_2_Scotland!H12)),Table_2_UK!$A$1&amp;" Head "&amp;Table_2_UK!A21&amp;" ("&amp;Table_2_UK!H21&amp;")"&amp;", "&amp;Table_2_Scotland!$A$1&amp; " Head "&amp;Table_2_Scotland!A12&amp;" ("&amp;Table_2_Scotland!H12&amp;")","")</f>
        <v/>
      </c>
      <c r="J60" s="273" t="str">
        <f>Table_2_UK!H21&amp;", "&amp;Table_2_Scotland!H12</f>
        <v>204486, 204486</v>
      </c>
      <c r="K60" s="207">
        <f t="shared" si="2"/>
        <v>0</v>
      </c>
      <c r="L60" s="207">
        <f t="shared" si="3"/>
        <v>0</v>
      </c>
    </row>
    <row r="61" spans="1:12" customFormat="1" ht="30.6" customHeight="1" x14ac:dyDescent="0.25">
      <c r="A61" s="170" t="s">
        <v>435</v>
      </c>
      <c r="B61" s="693" t="s">
        <v>436</v>
      </c>
      <c r="C61" s="693"/>
      <c r="D61" s="693"/>
      <c r="E61" s="695" t="str">
        <f>Table_2_UK!$A$1&amp;" Head "&amp;Table_2_UK!A22&amp;", "&amp;Table_2_Scotland!$A$1&amp; " Head "&amp;Table_2_Scotland!A20</f>
        <v>Table 2: Head 2d, Table 2_S: Head 2f</v>
      </c>
      <c r="F61" s="695"/>
      <c r="G61" s="276" t="s">
        <v>361</v>
      </c>
      <c r="H61" s="276" t="str">
        <f>IF(AND($B$4="S",(Table_2_UK!H22&lt;&gt;Table_2_Scotland!H20)),"FAIL","PASS")</f>
        <v>PASS</v>
      </c>
      <c r="I61" s="272" t="str">
        <f>IF(AND($B$4="S",(Table_2_UK!H22&lt;&gt;Table_2_Scotland!H20)),Table_2_UK!$A$1&amp;" Head "&amp;Table_2_UK!A22&amp;" ("&amp;Table_2_UK!H22&amp;")"&amp;", "&amp;Table_2_Scotland!$A$1&amp; " Head "&amp;Table_2_Scotland!A20&amp;" ("&amp;Table_2_Scotland!H20&amp;")","")</f>
        <v/>
      </c>
      <c r="J61" s="273" t="str">
        <f>Table_2_UK!H22&amp;", "&amp;Table_2_Scotland!H20</f>
        <v>491499, 491499</v>
      </c>
      <c r="K61" s="207">
        <f t="shared" si="2"/>
        <v>0</v>
      </c>
      <c r="L61" s="207">
        <f t="shared" si="3"/>
        <v>0</v>
      </c>
    </row>
    <row r="62" spans="1:12" customFormat="1" ht="30.6" customHeight="1" x14ac:dyDescent="0.25">
      <c r="A62" s="170" t="s">
        <v>437</v>
      </c>
      <c r="B62" s="693" t="s">
        <v>438</v>
      </c>
      <c r="C62" s="693"/>
      <c r="D62" s="693"/>
      <c r="E62" s="695" t="str">
        <f>Table_2_UK!$A$1&amp;" Head "&amp;Table_2_UK!A21&amp;", "&amp;Table_2_Scotland!$A$1&amp; " Head "&amp;Table_2_Scotland!A12</f>
        <v>Table 2: Head 2c, Table 2_S: Head 1f</v>
      </c>
      <c r="F62" s="695"/>
      <c r="G62" s="276" t="s">
        <v>361</v>
      </c>
      <c r="H62" s="276" t="str">
        <f>IF(AND($B$4="S",(Table_2_UK!I21&lt;&gt;Table_2_Scotland!I12)),"FAIL","PASS")</f>
        <v>PASS</v>
      </c>
      <c r="I62" s="272" t="str">
        <f>IF(AND($B$4="S",(Table_2_UK!I21&lt;&gt;Table_2_Scotland!I12)),Table_2_UK!$A$1&amp;" Head "&amp;Table_2_UK!A21&amp;" ("&amp;Table_2_UK!I21&amp;")"&amp;", "&amp;Table_2_Scotland!$A$1&amp; " Head "&amp;Table_2_Scotland!A12&amp;" ("&amp;Table_2_Scotland!I12&amp;")"&amp;", ","")</f>
        <v/>
      </c>
      <c r="J62" s="273" t="str">
        <f>Table_2_UK!I21&amp;", "&amp;Table_2_Scotland!I12</f>
        <v>207411, 207411</v>
      </c>
      <c r="K62" s="207">
        <f t="shared" si="2"/>
        <v>0</v>
      </c>
      <c r="L62" s="207">
        <f t="shared" si="3"/>
        <v>0</v>
      </c>
    </row>
    <row r="63" spans="1:12" customFormat="1" ht="30.6" customHeight="1" x14ac:dyDescent="0.25">
      <c r="A63" s="170" t="s">
        <v>439</v>
      </c>
      <c r="B63" s="693" t="s">
        <v>440</v>
      </c>
      <c r="C63" s="693"/>
      <c r="D63" s="693"/>
      <c r="E63" s="695" t="str">
        <f>Table_2_UK!$A$1&amp;" Head "&amp;Table_2_UK!A22&amp;", "&amp;Table_2_Scotland!$A$1&amp; " Head "&amp;Table_2_Scotland!A20</f>
        <v>Table 2: Head 2d, Table 2_S: Head 2f</v>
      </c>
      <c r="F63" s="695"/>
      <c r="G63" s="276" t="s">
        <v>361</v>
      </c>
      <c r="H63" s="276" t="str">
        <f>IF(AND($B$4="S",(Table_2_UK!I22&lt;&gt;Table_2_Scotland!I20)),"FAIL","PASS")</f>
        <v>PASS</v>
      </c>
      <c r="I63" s="272" t="str">
        <f>IF(AND($B$4="S",(Table_2_UK!I22&lt;&gt;Table_2_Scotland!I20)),Table_2_UK!$A$1&amp;" Head "&amp;Table_2_UK!A22&amp;" ("&amp;Table_2_UK!I22&amp;")"&amp;", "&amp;Table_2_Scotland!$A$1&amp; " Head "&amp;Table_2_Scotland!A20&amp;" ("&amp;Table_2_Scotland!I20&amp;")","")</f>
        <v/>
      </c>
      <c r="J63" s="273" t="str">
        <f>Table_2_UK!I22&amp;", "&amp;Table_2_Scotland!I20</f>
        <v>238496, 238496</v>
      </c>
      <c r="K63" s="207">
        <f t="shared" si="2"/>
        <v>0</v>
      </c>
      <c r="L63" s="207">
        <f t="shared" si="3"/>
        <v>0</v>
      </c>
    </row>
    <row r="64" spans="1:12" customFormat="1" ht="15.6" customHeight="1" x14ac:dyDescent="0.25">
      <c r="A64" s="170" t="s">
        <v>441</v>
      </c>
      <c r="B64" s="693" t="s">
        <v>442</v>
      </c>
      <c r="C64" s="693"/>
      <c r="D64" s="693"/>
      <c r="E64" s="695" t="str">
        <f>Table_2_Scotland!$A$1&amp;" Head "&amp;Table_2_Scotland!A12&amp;", "&amp;Table_2_Scotland!A20</f>
        <v>Table 2_S: Head 1f, 2f</v>
      </c>
      <c r="F64" s="695"/>
      <c r="G64" s="271" t="s">
        <v>366</v>
      </c>
      <c r="H64" s="276" t="str">
        <f>IF(AND($B$4="S", OR(Table_2_Scotland!H12+Table_2_Scotland!H20=0,Table_2_Scotland!I12+Table_2_Scotland!I20=0)),"FAIL","PASS")</f>
        <v>PASS</v>
      </c>
      <c r="I64" s="272" t="str">
        <f>IF(AND($B$4="S", OR(Table_2_Scotland!H12+Table_2_Scotland!H20=0,Table_2_Scotland!I12+Table_2_Scotland!I20=0)),"Head "&amp;Table_2_Scotland!A12&amp;", "&amp;Table_2_Scotland!A20&amp;" ("&amp;J64&amp;")","")</f>
        <v/>
      </c>
      <c r="J64" s="273" t="str">
        <f>Table_2_Scotland!H12&amp;", "&amp;Table_2_Scotland!H20&amp;", "&amp;Table_2_Scotland!I12&amp;", "&amp;Table_2_Scotland!I20</f>
        <v>204486, 491499, 207411, 238496</v>
      </c>
      <c r="K64" s="207">
        <f t="shared" si="2"/>
        <v>0</v>
      </c>
      <c r="L64" s="207">
        <f t="shared" si="3"/>
        <v>0</v>
      </c>
    </row>
    <row r="65" spans="1:12" customFormat="1" ht="15.6" customHeight="1" x14ac:dyDescent="0.25">
      <c r="A65" s="170" t="s">
        <v>443</v>
      </c>
      <c r="B65" s="693" t="s">
        <v>444</v>
      </c>
      <c r="C65" s="693"/>
      <c r="D65" s="693"/>
      <c r="E65" s="695" t="str">
        <f>Table_2_Scotland!$A$1&amp;" Head "&amp;Table_2_Scotland!A12&amp;", "&amp;Table_2_Scotland!A20</f>
        <v>Table 2_S: Head 1f, 2f</v>
      </c>
      <c r="F65" s="695"/>
      <c r="G65" s="271" t="s">
        <v>361</v>
      </c>
      <c r="H65" s="276" t="str">
        <f>IF(AND(OR($B$4="W",$B$4="N"),OR(Table_2_Scotland!H12&gt;0,Table_2_Scotland!I12&gt;0,Table_2_Scotland!H20&gt;0,Table_2_Scotland!I20&gt;0)),"FAIL","PASS")</f>
        <v>PASS</v>
      </c>
      <c r="I65" s="272" t="str">
        <f>IF(AND(OR($B$4="W",$B$4="N"),OR(Table_2_Scotland!H12&gt;0,Table_2_Scotland!I12&gt;0,Table_2_Scotland!H20&gt;0,Table_2_Scotland!I20&gt;0)),"Head "&amp;Table_2_Scotland!A12&amp;", "&amp;Table_2_Scotland!A20&amp;" ("&amp;J65&amp;")","")</f>
        <v/>
      </c>
      <c r="J65" s="273" t="str">
        <f>Table_2_Scotland!H12&amp;", "&amp;Table_2_Scotland!I12&amp;", "&amp;Table_2_Scotland!H20&amp;", "&amp;Table_2_Scotland!I20</f>
        <v>204486, 207411, 491499, 238496</v>
      </c>
      <c r="K65" s="207">
        <f t="shared" si="2"/>
        <v>0</v>
      </c>
      <c r="L65" s="207">
        <f t="shared" si="3"/>
        <v>0</v>
      </c>
    </row>
    <row r="66" spans="1:12" customFormat="1" ht="47.25" customHeight="1" x14ac:dyDescent="0.25">
      <c r="A66" s="170" t="s">
        <v>445</v>
      </c>
      <c r="B66" s="693" t="s">
        <v>446</v>
      </c>
      <c r="C66" s="693"/>
      <c r="D66" s="693"/>
      <c r="E66" s="695" t="str">
        <f>Table_2_Scotland!$A$1&amp;" Head "&amp;Table_2_Scotland!A7&amp;", "&amp;Table_2_Scotland!A8&amp;", "&amp;Table_2_Scotland!A9&amp;", "&amp;Table_2_Scotland!A10&amp;", "&amp;Table_2_Scotland!A11&amp;", "&amp;Table_2_Scotland!A15&amp;", "&amp;Table_2_Scotland!A16&amp;", "&amp;Table_2_Scotland!A17&amp;", "&amp;Table_2_Scotland!A18&amp;", "&amp;Table_2_Scotland!A19</f>
        <v>Table 2_S: Head 1a, 1b, 1c, 1d, 1e, 2a, 2b, 2c, 2d, 2e</v>
      </c>
      <c r="F66" s="695"/>
      <c r="G66" s="271" t="s">
        <v>366</v>
      </c>
      <c r="H66" s="276" t="str">
        <f>IF(OR(AND(Table_2_Scotland!K7&gt;750,Table_2_Scotland!L7&gt;2),AND(Table_2_Scotland!K7&lt;-750,Table_2_Scotland!L7&gt;2),AND(Table_2_Scotland!K8&gt;750,Table_2_Scotland!L8&gt;2),AND(Table_2_Scotland!K8&lt;-750,Table_2_Scotland!L8&gt;2),AND(Table_2_Scotland!K9&gt;750,Table_2_Scotland!L9&gt;2),AND(Table_2_Scotland!K9&lt;-750,Table_2_Scotland!L9&gt;2),AND(Table_2_Scotland!K10&gt;750,Table_2_Scotland!L10&gt;2),AND(Table_2_Scotland!K10&lt;-750,Table_2_Scotland!L10&gt;2),AND(Table_2_Scotland!K11&gt;750,Table_2_Scotland!L11&gt;2),AND(Table_2_Scotland!K11&lt;-750,Table_2_Scotland!L11&gt;2),AND(Table_2_Scotland!K15&gt;750,Table_2_Scotland!L15&gt;2),AND(Table_2_Scotland!K15&lt;-750,Table_2_Scotland!L15&gt;2),AND(Table_2_Scotland!K16&gt;750,Table_2_Scotland!L16&gt;2),AND(Table_2_Scotland!K16&lt;-750,Table_2_Scotland!L16&gt;2),AND(Table_2_Scotland!K17&gt;750,Table_2_Scotland!L17&gt;2),AND(Table_2_Scotland!K17&lt;-750,Table_2_Scotland!L17&gt;2),AND(Table_2_Scotland!K18&gt;750,Table_2_Scotland!L18&gt;2),AND(Table_2_Scotland!K18&lt;-750,Table_2_Scotland!L18&gt;2),AND(Table_2_Scotland!K19&gt;750,Table_2_Scotland!L19&gt;2),AND(Table_2_Scotland!K19&lt;-750,Table_2_Scotland!L19&gt;2)),"FAIL","PASS")</f>
        <v>PASS</v>
      </c>
      <c r="I66" s="272" t="str">
        <f>IF(Table_2_Scotland!S1="FAIL",CONCATENATE(Table_2_Scotland!S5," ",Table_2_Scotland!S7,Table_2_Scotland!S8,Table_2_Scotland!S9,Table_2_Scotland!S10,Table_2_Scotland!S11,Table_2_Scotland!S15,Table_2_Scotland!S16,Table_2_Scotland!S17,Table_2_Scotland!S18,Table_2_Scotland!S19),"")</f>
        <v/>
      </c>
      <c r="J66" s="277" t="str">
        <f>Table_2_Scotland!H7&amp;", "&amp;Table_2_Scotland!H8&amp;", "&amp;Table_2_Scotland!H9&amp;", "&amp;Table_2_Scotland!H10&amp;", "&amp;Table_2_Scotland!H11&amp;", "&amp;Table_2_Scotland!H15&amp;", "&amp;Table_2_Scotland!H16&amp;", "&amp;Table_2_Scotland!H17&amp;", "&amp;Table_2_Scotland!H18&amp;", "&amp;Table_2_Scotland!H19</f>
        <v>0, 0, 0, 177785, 26701, 0, 0, 0, 0, 491499</v>
      </c>
      <c r="K66" s="207">
        <f t="shared" si="2"/>
        <v>0</v>
      </c>
      <c r="L66" s="207">
        <f t="shared" si="3"/>
        <v>0</v>
      </c>
    </row>
    <row r="67" spans="1:12" customFormat="1" ht="47.25" customHeight="1" x14ac:dyDescent="0.25">
      <c r="A67" s="170" t="s">
        <v>447</v>
      </c>
      <c r="B67" s="693" t="s">
        <v>448</v>
      </c>
      <c r="C67" s="693"/>
      <c r="D67" s="693"/>
      <c r="E67" s="695" t="str">
        <f>Table_2_Scotland!$A$1&amp;" Head "&amp;Table_2_Scotland!A7&amp;", "&amp;Table_2_Scotland!A8&amp;", "&amp;Table_2_Scotland!A9&amp;", "&amp;Table_2_Scotland!A10&amp;", "&amp;Table_2_Scotland!A11&amp;", "&amp;Table_2_Scotland!A15&amp;", "&amp;Table_2_Scotland!A16&amp;", "&amp;Table_2_Scotland!A17&amp;", "&amp;Table_2_Scotland!A18&amp;", "&amp;Table_2_Scotland!A19</f>
        <v>Table 2_S: Head 1a, 1b, 1c, 1d, 1e, 2a, 2b, 2c, 2d, 2e</v>
      </c>
      <c r="F67" s="695"/>
      <c r="G67" s="271" t="s">
        <v>366</v>
      </c>
      <c r="H67" s="276" t="str">
        <f>IF(OR(AND(Table_2_Scotland!I7&lt;&gt;Table_2_Scotland!J7),AND(Table_2_Scotland!I8&lt;&gt;Table_2_Scotland!J8),AND(Table_2_Scotland!I9&lt;&gt;Table_2_Scotland!J9),AND(Table_2_Scotland!I10&lt;&gt;Table_2_Scotland!J10),AND(Table_2_Scotland!I11&lt;&gt;Table_2_Scotland!J11),AND(Table_2_Scotland!I15&lt;&gt;Table_2_Scotland!J15),AND(Table_2_Scotland!I16&lt;&gt;Table_2_Scotland!J16),AND(Table_2_Scotland!I17&lt;&gt;Table_2_Scotland!J17),AND(Table_2_Scotland!I18&lt;&gt;Table_2_Scotland!J18),AND(Table_2_Scotland!I19&lt;&gt;Table_2_Scotland!J19)),"FAIL","PASS")</f>
        <v>PASS</v>
      </c>
      <c r="I67" s="272" t="str">
        <f>IF(Table_2_Scotland!U1="FAIL",CONCATENATE(Table_2_Scotland!U5," ",Table_2_Scotland!U7,Table_2_Scotland!U8,Table_2_Scotland!U9,Table_2_Scotland!U10,Table_2_Scotland!U11,Table_2_Scotland!U15,Table_2_Scotland!U16,Table_2_Scotland!U17,Table_2_Scotland!U18,Table_2_Scotland!U19),"")</f>
        <v/>
      </c>
      <c r="J67" s="277" t="str">
        <f>Table_2_Scotland!I7&amp;", "&amp;Table_2_Scotland!I8&amp;", "&amp;Table_2_Scotland!I9&amp;", "&amp;Table_2_Scotland!I10&amp;", "&amp;Table_2_Scotland!I11&amp;", "&amp;Table_2_Scotland!I15&amp;", "&amp;Table_2_Scotland!I16&amp;", "&amp;Table_2_Scotland!I17&amp;", "&amp;Table_2_Scotland!I18&amp;", "&amp;Table_2_Scotland!I19</f>
        <v>0, 0, 0, 147296, 60115, 0, 0, 0, 0, 238496</v>
      </c>
      <c r="K67" s="207">
        <f t="shared" si="2"/>
        <v>0</v>
      </c>
      <c r="L67" s="207">
        <f t="shared" si="3"/>
        <v>0</v>
      </c>
    </row>
    <row r="68" spans="1:12" customFormat="1" ht="15.6" customHeight="1" x14ac:dyDescent="0.25">
      <c r="A68" s="170" t="s">
        <v>449</v>
      </c>
      <c r="B68" s="693" t="s">
        <v>450</v>
      </c>
      <c r="C68" s="693"/>
      <c r="D68" s="693"/>
      <c r="E68" s="695" t="str">
        <f>Table_3_UK!$A$1&amp;" Head "&amp;Table_3_UK!A22</f>
        <v>Table 3: Head 2n</v>
      </c>
      <c r="F68" s="695"/>
      <c r="G68" s="271" t="s">
        <v>361</v>
      </c>
      <c r="H68" s="276" t="str">
        <f>IF(AND(SUM(Table_3_UK!H22:I22)&lt;&gt;0,ISBLANK(Table_3_UK!N22)),"FAIL","PASS")</f>
        <v>PASS</v>
      </c>
      <c r="I68" s="272" t="str">
        <f>IF(AND(SUM(Table_3_UK!H22:I22)&lt;&gt;0,ISBLANK(Table_3_UK!N22)),"Head "&amp;Table_3_UK!A22&amp;" ("&amp;J68&amp;")","")</f>
        <v/>
      </c>
      <c r="J68" s="273" t="str">
        <f>Table_3_UK!H22&amp;", "&amp;Table_3_UK!I22</f>
        <v>17689, 0</v>
      </c>
      <c r="K68" s="207">
        <f t="shared" si="2"/>
        <v>0</v>
      </c>
      <c r="L68" s="207">
        <f t="shared" si="3"/>
        <v>0</v>
      </c>
    </row>
    <row r="69" spans="1:12" customFormat="1" ht="15.6" customHeight="1" x14ac:dyDescent="0.25">
      <c r="A69" s="170" t="s">
        <v>451</v>
      </c>
      <c r="B69" s="693" t="s">
        <v>452</v>
      </c>
      <c r="C69" s="693"/>
      <c r="D69" s="693"/>
      <c r="E69" s="695" t="str">
        <f>Table_3_UK!$A$1&amp;" Head "&amp;Table_3_UK!A22</f>
        <v>Table 3: Head 2n</v>
      </c>
      <c r="F69" s="695"/>
      <c r="G69" s="271" t="s">
        <v>361</v>
      </c>
      <c r="H69" s="276" t="str">
        <f>IF(AND(SUM(Table_3_UK!H22:I22)=0,NOT(ISBLANK(Table_3_UK!N22))),"FAIL","PASS")</f>
        <v>PASS</v>
      </c>
      <c r="I69" s="272" t="str">
        <f>IF(AND(SUM(Table_3_UK!H22:I22)=0,NOT(ISBLANK(Table_3_UK!N22))),"Head "&amp;Table_3_UK!A22&amp;" ("&amp;J69&amp;")","")</f>
        <v/>
      </c>
      <c r="J69" s="273" t="str">
        <f>Table_3_UK!N22</f>
        <v>Impairment</v>
      </c>
      <c r="K69" s="207">
        <f t="shared" si="2"/>
        <v>0</v>
      </c>
      <c r="L69" s="207">
        <f t="shared" si="3"/>
        <v>0</v>
      </c>
    </row>
    <row r="70" spans="1:12" customFormat="1" ht="15.6" customHeight="1" x14ac:dyDescent="0.25">
      <c r="A70" s="170" t="s">
        <v>453</v>
      </c>
      <c r="B70" s="693" t="s">
        <v>454</v>
      </c>
      <c r="C70" s="693"/>
      <c r="D70" s="693"/>
      <c r="E70" s="695" t="str">
        <f>Table_3_UK!$A$1&amp;" Head "&amp;Table_3_UK!A29</f>
        <v>Table 3: Head 3e</v>
      </c>
      <c r="F70" s="695"/>
      <c r="G70" s="79" t="s">
        <v>366</v>
      </c>
      <c r="H70" s="276" t="str">
        <f>IF(Table_3_UK!H29&lt;&gt;0,"PASS","FAIL")</f>
        <v>PASS</v>
      </c>
      <c r="I70" s="272" t="str">
        <f>IF(Table_3_UK!H29&lt;&gt;0,"","Head "&amp;Table_3_UK!A29&amp;" ("&amp;J70&amp;")")</f>
        <v/>
      </c>
      <c r="J70" s="277">
        <f>Table_3_UK!H29</f>
        <v>-72435</v>
      </c>
      <c r="K70" s="207">
        <f t="shared" si="2"/>
        <v>0</v>
      </c>
      <c r="L70" s="207">
        <f t="shared" si="3"/>
        <v>0</v>
      </c>
    </row>
    <row r="71" spans="1:12" customFormat="1" ht="15.6" customHeight="1" x14ac:dyDescent="0.25">
      <c r="A71" s="170" t="s">
        <v>455</v>
      </c>
      <c r="B71" s="693" t="s">
        <v>456</v>
      </c>
      <c r="C71" s="693"/>
      <c r="D71" s="693"/>
      <c r="E71" s="695" t="str">
        <f>Table_3_UK!$A$1&amp;" Head "&amp;Table_3_UK!A29</f>
        <v>Table 3: Head 3e</v>
      </c>
      <c r="F71" s="695"/>
      <c r="G71" s="79" t="s">
        <v>366</v>
      </c>
      <c r="H71" s="276" t="str">
        <f>IF(Table_3_UK!I29&lt;&gt;0,"PASS","FAIL")</f>
        <v>PASS</v>
      </c>
      <c r="I71" s="272" t="str">
        <f>IF(Table_3_UK!I29&lt;&gt;0,"","Head "&amp;Table_3_UK!A29&amp;" ("&amp;J71&amp;")")</f>
        <v/>
      </c>
      <c r="J71" s="277">
        <f>Table_3_UK!I29</f>
        <v>-89460</v>
      </c>
      <c r="K71" s="207">
        <f t="shared" si="2"/>
        <v>0</v>
      </c>
      <c r="L71" s="207">
        <f t="shared" si="3"/>
        <v>0</v>
      </c>
    </row>
    <row r="72" spans="1:12" customFormat="1" ht="15.6" customHeight="1" x14ac:dyDescent="0.25">
      <c r="A72" s="170" t="s">
        <v>457</v>
      </c>
      <c r="B72" s="693" t="s">
        <v>458</v>
      </c>
      <c r="C72" s="693"/>
      <c r="D72" s="693"/>
      <c r="E72" s="695" t="str">
        <f>Table_3_UK!$A$1&amp;" Head "&amp;Table_3_UK!A40</f>
        <v>Table 3: Head 7c</v>
      </c>
      <c r="F72" s="695"/>
      <c r="G72" s="79" t="s">
        <v>366</v>
      </c>
      <c r="H72" s="276" t="str">
        <f>IF(Table_3_UK!H40&lt;&gt;0,"PASS","FAIL")</f>
        <v>PASS</v>
      </c>
      <c r="I72" s="272" t="str">
        <f>IF(Table_3_UK!H40&lt;&gt;0,"","Head "&amp;Table_3_UK!A40&amp;" ("&amp;J72&amp;")")</f>
        <v/>
      </c>
      <c r="J72" s="277">
        <f>Table_3_UK!H40</f>
        <v>72435</v>
      </c>
      <c r="K72" s="207">
        <f t="shared" si="2"/>
        <v>0</v>
      </c>
      <c r="L72" s="207">
        <f t="shared" si="3"/>
        <v>0</v>
      </c>
    </row>
    <row r="73" spans="1:12" customFormat="1" ht="15.6" customHeight="1" x14ac:dyDescent="0.25">
      <c r="A73" s="170" t="s">
        <v>459</v>
      </c>
      <c r="B73" s="693" t="s">
        <v>460</v>
      </c>
      <c r="C73" s="693"/>
      <c r="D73" s="693"/>
      <c r="E73" s="695" t="str">
        <f>Table_3_UK!$A$1&amp;" Head "&amp;Table_3_UK!A40</f>
        <v>Table 3: Head 7c</v>
      </c>
      <c r="F73" s="695"/>
      <c r="G73" s="79" t="s">
        <v>366</v>
      </c>
      <c r="H73" s="276" t="str">
        <f>IF(Table_3_UK!I40&lt;&gt;0,"PASS","FAIL")</f>
        <v>PASS</v>
      </c>
      <c r="I73" s="272" t="str">
        <f>IF(Table_3_UK!I40&lt;&gt;0,"","Head "&amp;Table_3_UK!A40&amp;" ("&amp;J73&amp;")")</f>
        <v/>
      </c>
      <c r="J73" s="277">
        <f>Table_3_UK!I40</f>
        <v>89460</v>
      </c>
      <c r="K73" s="207">
        <f t="shared" si="2"/>
        <v>0</v>
      </c>
      <c r="L73" s="207">
        <f t="shared" si="3"/>
        <v>0</v>
      </c>
    </row>
    <row r="74" spans="1:12" customFormat="1" ht="30.6" customHeight="1" x14ac:dyDescent="0.25">
      <c r="A74" s="170" t="s">
        <v>461</v>
      </c>
      <c r="B74" s="693" t="s">
        <v>462</v>
      </c>
      <c r="C74" s="693"/>
      <c r="D74" s="693"/>
      <c r="E74" s="695" t="str">
        <f>Table_2_UK!$A$1&amp;" Head "&amp;Table_2_UK!A22&amp;", "&amp;Table_2_UK!A29&amp;", "&amp;Table_3_UK!$A$1&amp;" Head "&amp;Table_3_UK!A70</f>
        <v>Table 2: Head 2d, 3a, Table 3: Head 12</v>
      </c>
      <c r="F74" s="695"/>
      <c r="G74" s="79" t="s">
        <v>361</v>
      </c>
      <c r="H74" s="276" t="str">
        <f>IF((ABS(Table_2_UK!H22-Table_2_UK!H29 - Table_3_UK!H70))&gt;5,"FAIL","PASS")</f>
        <v>PASS</v>
      </c>
      <c r="I74" s="272" t="str">
        <f>IF((ABS(Table_2_UK!H22-Table_2_UK!H29 - Table_3_UK!H70))&gt;5,Table_2_UK!$A$1&amp;" Head "&amp;Table_2_UK!A22&amp;", "&amp;Table_2_UK!A29&amp;" ("&amp;Table_2_UK!H22&amp;", "&amp;Table_2_UK!H29&amp;")"&amp;", "&amp;Table_3_UK!$A$1&amp;" Head "&amp;Table_3_UK!A70&amp;" ("&amp;Table_3_UK!H70&amp;")","")</f>
        <v/>
      </c>
      <c r="J74" s="277" t="str">
        <f>CONCATENATE(Table_2_UK!H22, ", ",Table_2_UK!H29,", ", Table_3_UK!H70)</f>
        <v>491499, 0, 491499</v>
      </c>
      <c r="K74" s="207">
        <f t="shared" si="2"/>
        <v>0</v>
      </c>
      <c r="L74" s="207">
        <f t="shared" si="3"/>
        <v>0</v>
      </c>
    </row>
    <row r="75" spans="1:12" customFormat="1" ht="30.6" customHeight="1" x14ac:dyDescent="0.25">
      <c r="A75" s="170" t="s">
        <v>463</v>
      </c>
      <c r="B75" s="693" t="s">
        <v>464</v>
      </c>
      <c r="C75" s="693"/>
      <c r="D75" s="693"/>
      <c r="E75" s="695" t="str">
        <f>Table_2_UK!$A$1&amp;" Head "&amp;Table_2_UK!A22&amp;", "&amp;Table_2_UK!A29&amp;", "&amp;Table_3_UK!$A$1&amp;" Head "&amp;Table_3_UK!A70</f>
        <v>Table 2: Head 2d, 3a, Table 3: Head 12</v>
      </c>
      <c r="F75" s="695"/>
      <c r="G75" s="79" t="s">
        <v>361</v>
      </c>
      <c r="H75" s="276" t="str">
        <f>IF((ABS(Table_2_UK!I22-Table_2_UK!I29 - Table_3_UK!I70))&gt;5,"FAIL","PASS")</f>
        <v>PASS</v>
      </c>
      <c r="I75" s="272" t="str">
        <f>IF((ABS(Table_2_UK!I22-Table_2_UK!I29 - Table_3_UK!I70))&gt;5,Table_2_UK!$A$1&amp;" Head "&amp;Table_2_UK!A22&amp;", "&amp;Table_2_UK!A29&amp;" ("&amp;Table_2_UK!I22&amp;", "&amp;Table_2_UK!I29&amp;")"&amp;", "&amp;Table_3_UK!$A$1&amp;" Head "&amp;Table_3_UK!A70&amp;" ("&amp;Table_3_UK!I70&amp;")","")</f>
        <v/>
      </c>
      <c r="J75" s="277" t="str">
        <f>CONCATENATE(Table_2_UK!I22, ", ",Table_2_UK!I29,", ", Table_3_UK!I70)</f>
        <v>238496, 0, 238495</v>
      </c>
      <c r="K75" s="207">
        <f t="shared" si="2"/>
        <v>0</v>
      </c>
      <c r="L75" s="207">
        <f t="shared" si="3"/>
        <v>0</v>
      </c>
    </row>
    <row r="76" spans="1:12" customFormat="1" ht="15.4" customHeight="1" x14ac:dyDescent="0.25">
      <c r="A76" s="170" t="s">
        <v>465</v>
      </c>
      <c r="B76" s="693" t="s">
        <v>466</v>
      </c>
      <c r="C76" s="693"/>
      <c r="D76" s="693"/>
      <c r="E76" s="695" t="str">
        <f>Table_3_UK!$A$1&amp;" Head "&amp;Table_3_UK!A44&amp;", "&amp;Table_3_UK!A45</f>
        <v>Table 3: Head 7g, 7h</v>
      </c>
      <c r="F76" s="695"/>
      <c r="G76" s="79" t="s">
        <v>366</v>
      </c>
      <c r="H76" s="276" t="str">
        <f>IF(Table_3_UK!H44&lt;Table_3_UK!H45,"PASS","FAIL")</f>
        <v>PASS</v>
      </c>
      <c r="I76" s="272" t="str">
        <f>IF(Table_3_UK!H44&lt;Table_3_UK!H45,"","Head "&amp;Table_3_UK!A44&amp;", "&amp;Table_3_UK!A45&amp;" ("&amp;J76&amp;")")</f>
        <v/>
      </c>
      <c r="J76" s="277" t="str">
        <f>Table_3_UK!H44&amp;", "&amp;Table_3_UK!H45</f>
        <v>-101568, -9257</v>
      </c>
      <c r="K76" s="207">
        <f t="shared" si="2"/>
        <v>0</v>
      </c>
      <c r="L76" s="207">
        <f t="shared" si="3"/>
        <v>0</v>
      </c>
    </row>
    <row r="77" spans="1:12" customFormat="1" ht="30" customHeight="1" x14ac:dyDescent="0.25">
      <c r="A77" s="170" t="s">
        <v>467</v>
      </c>
      <c r="B77" s="693" t="s">
        <v>468</v>
      </c>
      <c r="C77" s="693"/>
      <c r="D77" s="693"/>
      <c r="E77" s="695" t="str">
        <f>Table_3_UK!$A$1&amp;" Head "&amp;Table_3_UK!A25&amp;", "&amp;Table_3_UK!A27</f>
        <v>Table 3: Head 3a, 3c</v>
      </c>
      <c r="F77" s="695"/>
      <c r="G77" s="79" t="s">
        <v>366</v>
      </c>
      <c r="H77" s="276" t="str">
        <f>IF(AND(Table_3_UK!I25&lt;=0,Table_3_UK!I27&lt;=0),"PASS","FAIL")</f>
        <v>PASS</v>
      </c>
      <c r="I77" s="272" t="str">
        <f>IF(AND(Table_3_UK!I25&lt;=0,Table_3_UK!I27&lt;=0),"","Head "&amp;Table_3_UK!A25&amp;", "&amp;Table_3_UK!A27&amp;" ("&amp;J77&amp;")")</f>
        <v/>
      </c>
      <c r="J77" s="277" t="str">
        <f>Table_3_UK!I25&amp;", "&amp;Table_3_UK!I27</f>
        <v>-17413, -8034</v>
      </c>
      <c r="K77" s="207">
        <f t="shared" si="2"/>
        <v>0</v>
      </c>
      <c r="L77" s="207">
        <f t="shared" si="3"/>
        <v>0</v>
      </c>
    </row>
    <row r="78" spans="1:12" customFormat="1" ht="47.25" customHeight="1" x14ac:dyDescent="0.25">
      <c r="A78" s="170" t="s">
        <v>469</v>
      </c>
      <c r="B78" s="693" t="s">
        <v>470</v>
      </c>
      <c r="C78" s="693"/>
      <c r="D78" s="693"/>
      <c r="E78" s="695" t="str">
        <f>Table_3_UK!$A$1&amp;" Head "&amp;Table_3_UK!A6&amp;", "&amp;Table_3_UK!A9&amp;", "&amp;Table_3_UK!A10&amp;", "&amp;Table_3_UK!A11&amp;", "&amp;Table_3_UK!A12&amp;", "&amp;Table_3_UK!A13&amp;", "&amp;Table_3_UK!A14&amp;", "&amp;Table_3_UK!A15&amp;", "&amp;Table_3_UK!A16&amp;", "&amp;Table_3_UK!A17&amp;", "&amp;Table_3_UK!A18&amp;", "&amp;Table_3_UK!A19&amp;", "&amp;Table_3_UK!A20&amp;", "&amp;Table_3_UK!A21&amp;", "&amp;Table_3_UK!A22&amp;", "&amp;Table_3_UK!A25&amp;", "&amp;Table_3_UK!A26&amp;", "&amp;Table_3_UK!A27&amp;", "&amp;Table_3_UK!A28&amp;", "&amp;Table_3_UK!A38&amp;", "&amp;Table_3_UK!A39&amp;", "&amp;Table_3_UK!A41&amp;", "&amp;Table_3_UK!A42&amp;", "&amp;Table_3_UK!A43&amp;", "&amp;Table_3_UK!A45&amp;", "&amp;Table_3_UK!A46&amp;", "&amp;Table_3_UK!A47&amp;", "&amp;Table_3_UK!A52&amp;", "&amp;Table_3_UK!A53&amp;", "&amp;Table_3_UK!A54&amp;", "&amp;Table_3_UK!A56&amp;", "&amp;Table_3_UK!A57&amp;", "&amp;Table_3_UK!A58&amp;", "&amp;Table_3_UK!A59&amp;", "&amp;Table_3_UK!A61&amp;", "&amp;Table_3_UK!A66</f>
        <v>Table 3: Head 1a, 2a, 2b, 2c, 2d, 2e, 2f, 2g, 2h, 2i, 2j, 2k, 2l, 2m, 2n, 3a, 3b, 3c, 3d, 7a, 7b, 7d, 7e, 7f, 7h, 7i, 7j, 8a, 8b, 8c, 8e, 8f, 8g, 8h, 8j, 10</v>
      </c>
      <c r="F78" s="695"/>
      <c r="G78" s="271" t="s">
        <v>366</v>
      </c>
      <c r="H78" s="276" t="str">
        <f>IF(OR(AND(Table_3_UK!I6&lt;&gt;Table_3_UK!J6),AND(Table_3_UK!I9&lt;&gt;Table_3_UK!J9),AND(Table_3_UK!I10&lt;&gt;Table_3_UK!J10),AND(Table_3_UK!I11&lt;&gt;Table_3_UK!J11),AND(Table_3_UK!I12&lt;&gt;Table_3_UK!J12),AND(Table_3_UK!I13&lt;&gt;Table_3_UK!J13),AND(Table_3_UK!I14&lt;&gt;Table_3_UK!J14),AND(Table_3_UK!I15&lt;&gt;Table_3_UK!J15),AND(Table_3_UK!I16&lt;&gt;Table_3_UK!J16),AND(Table_3_UK!I17&lt;&gt;Table_3_UK!J17),AND(Table_3_UK!I18&lt;&gt;Table_3_UK!J18),AND(Table_3_UK!I19&lt;&gt;Table_3_UK!J19),AND(Table_3_UK!I20&lt;&gt;Table_3_UK!J20),AND(Table_3_UK!I21&lt;&gt;Table_3_UK!J21),AND(Table_3_UK!I22&lt;&gt;Table_3_UK!J22),AND(Table_3_UK!I25&lt;&gt;Table_3_UK!J25),AND(Table_3_UK!I26&lt;&gt;Table_3_UK!J26),AND(Table_3_UK!I27&lt;&gt;Table_3_UK!J27),AND(Table_3_UK!I28&lt;&gt;Table_3_UK!J28),AND(Table_3_UK!I38&lt;&gt;Table_3_UK!J38),AND(Table_3_UK!I39&lt;&gt;Table_3_UK!J39),AND(Table_3_UK!I41&lt;&gt;Table_3_UK!J41),AND(Table_3_UK!I42&lt;&gt;Table_3_UK!J42),AND(Table_3_UK!I43&lt;&gt;Table_3_UK!J43),AND(Table_3_UK!I45&lt;&gt;Table_3_UK!J45),AND(Table_3_UK!I46&lt;&gt;Table_3_UK!J46),AND(Table_3_UK!I47&lt;&gt;Table_3_UK!J47),AND(Table_3_UK!I52&lt;&gt;Table_3_UK!J52),AND(Table_3_UK!I53&lt;&gt;Table_3_UK!J53),AND(Table_3_UK!I54&lt;&gt;Table_3_UK!J54),AND(Table_3_UK!I56&lt;&gt;Table_3_UK!J56),AND(Table_3_UK!I57&lt;&gt;Table_3_UK!J57),AND(Table_3_UK!I58&lt;&gt;Table_3_UK!J58),AND(Table_3_UK!I59&lt;&gt;Table_3_UK!J59),AND(Table_3_UK!I61&lt;&gt;Table_3_UK!J61),AND(Table_3_UK!I66&lt;&gt;Table_3_UK!J66)),"FAIL","PASS")</f>
        <v>PASS</v>
      </c>
      <c r="I78" s="272" t="str">
        <f>IF(Table_3_UK!U1="FAIL",CONCATENATE(Table_3_UK!U5," ",Table_3_UK!U6,Table_3_UK!U9,Table_3_UK!U10,Table_3_UK!U11,Table_3_UK!U12,Table_3_UK!U13,Table_3_UK!U14,Table_3_UK!U15,Table_3_UK!U16,Table_3_UK!U17,Table_3_UK!U18,Table_3_UK!U19,Table_3_UK!U20,Table_3_UK!U21,Table_3_UK!U22,Table_3_UK!U25,Table_3_UK!U26,Table_3_UK!U27,Table_3_UK!U28,Table_3_UK!U38,Table_3_UK!U39,Table_3_UK!U41,Table_3_UK!U42,Table_3_UK!U43,Table_3_UK!U45,Table_3_UK!U46,Table_3_UK!U47,Table_3_UK!U52,Table_3_UK!U53,Table_3_UK!U54,Table_3_UK!U56,Table_3_UK!U57,Table_3_UK!U58,Table_3_UK!U59,Table_3_UK!U61,Table_3_UK!U66),"")</f>
        <v/>
      </c>
      <c r="J78" s="277" t="str">
        <f>Table_3_UK!I6&amp;", "&amp;Table_3_UK!I9&amp;", "&amp;Table_3_UK!I10&amp;", "&amp;Table_3_UK!I11&amp;", "&amp;Table_3_UK!I12&amp;", "&amp;Table_3_UK!I13&amp;", "&amp;Table_3_UK!I14&amp;", "&amp;Table_3_UK!I15&amp;", "&amp;Table_3_UK!I16&amp;", "&amp;Table_3_UK!I17&amp;", "&amp;Table_3_UK!I18&amp;", "&amp;Table_3_UK!I19&amp;", "&amp;Table_3_UK!I20&amp;", "&amp;Table_3_UK!I21&amp;", "&amp;Table_3_UK!I22&amp;", "&amp;Table_3_UK!I25&amp;", "&amp;Table_3_UK!I26&amp;", "&amp;Table_3_UK!I27&amp;", "&amp;Table_3_UK!I28&amp;", "&amp;Table_3_UK!I38&amp;", "&amp;Table_3_UK!I39&amp;", "&amp;Table_3_UK!I41&amp;", "&amp;Table_3_UK!I42&amp;", "&amp;Table_3_UK!I43&amp;", "&amp;Table_3_UK!I45&amp;", "&amp;Table_3_UK!I46&amp;", "&amp;Table_3_UK!I47&amp;", "&amp;Table_3_UK!I52&amp;", "&amp;Table_3_UK!I53&amp;", "&amp;Table_3_UK!I54&amp;", "&amp;Table_3_UK!I56&amp;", "&amp;Table_3_UK!I57&amp;", "&amp;Table_3_UK!I58&amp;", "&amp;Table_3_UK!I59&amp;", "&amp;Table_3_UK!I61&amp;", "&amp;Table_3_UK!I66</f>
        <v>-93037, 63758, 0, 0, 0, -36784, 359, -6101, 24767, 196822, 0, -243, 0, 0, 0, -17413, 33014, -8034, -4560, 5925, 0, 7715, -27411, 17413, 0, -217692, 0, -27607, -74, 8034, 0, 260783, -39378, 234, 0, 236081</v>
      </c>
      <c r="K78" s="207">
        <f t="shared" si="2"/>
        <v>0</v>
      </c>
      <c r="L78" s="207">
        <f t="shared" si="3"/>
        <v>0</v>
      </c>
    </row>
    <row r="79" spans="1:12" customFormat="1" ht="30.6" customHeight="1" x14ac:dyDescent="0.25">
      <c r="A79" s="177" t="s">
        <v>471</v>
      </c>
      <c r="B79" s="693" t="s">
        <v>472</v>
      </c>
      <c r="C79" s="693"/>
      <c r="D79" s="693"/>
      <c r="E79" s="695" t="str">
        <f>Table_4_UK!$A$1&amp;" Head "&amp;Table_4_UK!A61&amp;" ("&amp;Table_4_UK!AE3&amp;")"&amp;", "&amp;Table_7_UK!$A$1&amp;" Head "&amp;Table_7_UK!A99&amp;" ("&amp;Table_7_UK!O3&amp;")"</f>
        <v>Table 4: Head 4 (Total), Table 7: Head 6n (Total expenditure)</v>
      </c>
      <c r="F79" s="695"/>
      <c r="G79" s="271" t="s">
        <v>366</v>
      </c>
      <c r="H79" s="271" t="str">
        <f>IF(AND(OR(Table_4_UK!AE61=0,Table_7_UK!O99&lt;&gt;0),OR(Table_7_UK!O99=0,Table_4_UK!AE61&lt;&gt;0)),"PASS","FAIL")</f>
        <v>PASS</v>
      </c>
      <c r="I79" s="272" t="str">
        <f>IF(AND(OR(Table_4_UK!AE61=0,Table_7_UK!O99&lt;&gt;0),OR(Table_7_UK!O99=0,Table_4_UK!AE61&lt;&gt;0)),"",Table_4_UK!$A$1&amp;" Head "&amp;Table_4_UK!A61&amp;" ("&amp;Table_4_UK!AE61&amp;")"&amp;", "&amp;Table_7_UK!$A$1&amp;" Head "&amp;Table_7_UK!A99&amp;" ("&amp;Table_7_UK!O99&amp;")")</f>
        <v/>
      </c>
      <c r="J79" s="273" t="str">
        <f>Table_4_UK!AE61&amp;", "&amp;Table_7_UK!O99</f>
        <v>296135, 234788</v>
      </c>
      <c r="K79" s="207">
        <f t="shared" si="2"/>
        <v>0</v>
      </c>
      <c r="L79" s="207">
        <f t="shared" si="3"/>
        <v>0</v>
      </c>
    </row>
    <row r="80" spans="1:12" customFormat="1" ht="30.6" customHeight="1" x14ac:dyDescent="0.25">
      <c r="A80" s="177" t="s">
        <v>473</v>
      </c>
      <c r="B80" s="693" t="s">
        <v>474</v>
      </c>
      <c r="C80" s="693"/>
      <c r="D80" s="693"/>
      <c r="E80" s="695" t="str">
        <f>Table_4_UK!$A$1&amp;" Head "&amp;Table_4_UK!A61&amp;" ("&amp;Table_4_UK!Q3&amp;")"&amp;", "&amp;Table_7_UK!$A$1&amp;" Head "&amp;Table_7_UK!A76&amp;" "&amp;Table_7_UK!A86&amp;" ("&amp;Table_7_UK!O3&amp;")"</f>
        <v>Table 4: Head 4 (Total Research Councils), Table 7: Head 6a x (Total expenditure)</v>
      </c>
      <c r="F80" s="695"/>
      <c r="G80" s="79" t="s">
        <v>366</v>
      </c>
      <c r="H80" s="79" t="str">
        <f>IF(AND(OR(Table_4_UK!Q61=0,Table_7_UK!O86&lt;&gt;0),OR(Table_7_UK!O86=0,Table_4_UK!Q61&lt;&gt;0)),"PASS","FAIL")</f>
        <v>PASS</v>
      </c>
      <c r="I80" s="278" t="str">
        <f>IF(AND(OR(Table_4_UK!Q61=0,Table_7_UK!O86&lt;&gt;0),OR(Table_7_UK!O86=0,Table_4_UK!Q61&lt;&gt;0)),"",Table_4_UK!$A$1&amp;" Head "&amp;Table_4_UK!A61&amp;" ("&amp;Table_4_UK!Q61&amp;")"&amp;", "&amp;Table_7_UK!$A$1&amp;" Head "&amp;Table_7_UK!A76&amp;" "&amp;Table_7_UK!A86&amp;" ("&amp;Table_7_UK!O86&amp;")")</f>
        <v/>
      </c>
      <c r="J80" s="279" t="str">
        <f>Table_4_UK!Q61&amp;", "&amp;Table_7_UK!O86</f>
        <v>113244, 87261</v>
      </c>
      <c r="K80" s="207">
        <f t="shared" si="2"/>
        <v>0</v>
      </c>
      <c r="L80" s="207">
        <f t="shared" si="3"/>
        <v>0</v>
      </c>
    </row>
    <row r="81" spans="1:12" customFormat="1" ht="30.6" customHeight="1" x14ac:dyDescent="0.25">
      <c r="A81" s="177" t="s">
        <v>475</v>
      </c>
      <c r="B81" s="693" t="s">
        <v>476</v>
      </c>
      <c r="C81" s="693"/>
      <c r="D81" s="693"/>
      <c r="E81" s="695" t="str">
        <f>Table_4_UK!$A$1&amp;" Head "&amp;Table_4_UK!A61&amp;" ("&amp;Table_4_UK!R3&amp;")"&amp;", "&amp;Table_7_UK!$A$1&amp;" Head "&amp;Table_7_UK!A87&amp;" ("&amp;Table_7_UK!O3&amp;")"</f>
        <v>Table 4: Head 4 (UK-based charities (open competitive process)), Table 7: Head 6b (Total expenditure)</v>
      </c>
      <c r="F81" s="695"/>
      <c r="G81" s="79" t="s">
        <v>366</v>
      </c>
      <c r="H81" s="79" t="str">
        <f>IF(AND(OR(Table_4_UK!R61=0,Table_7_UK!O87&lt;&gt;0),OR(Table_7_UK!O87=0,Table_4_UK!R61&lt;&gt;0)),"PASS","FAIL")</f>
        <v>PASS</v>
      </c>
      <c r="I81" s="278" t="str">
        <f>IF(AND(OR(Table_4_UK!R61=0,Table_7_UK!O87&lt;&gt;0),OR(Table_7_UK!O87=0,Table_4_UK!R61&lt;&gt;0)),"",Table_4_UK!$A$1&amp;" Head "&amp;Table_4_UK!A61&amp;" ("&amp;Table_4_UK!R61&amp;")"&amp;", "&amp;Table_7_UK!$A$1&amp;" Head "&amp;Table_7_UK!A87&amp;" ("&amp;Table_7_UK!O87&amp;")")</f>
        <v/>
      </c>
      <c r="J81" s="279" t="str">
        <f>Table_4_UK!R61&amp;", "&amp;Table_7_UK!O87</f>
        <v>62270, 62081</v>
      </c>
      <c r="K81" s="207">
        <f t="shared" si="2"/>
        <v>0</v>
      </c>
      <c r="L81" s="207">
        <f t="shared" si="3"/>
        <v>0</v>
      </c>
    </row>
    <row r="82" spans="1:12" customFormat="1" ht="30.6" customHeight="1" x14ac:dyDescent="0.25">
      <c r="A82" s="177" t="s">
        <v>477</v>
      </c>
      <c r="B82" s="693" t="s">
        <v>478</v>
      </c>
      <c r="C82" s="693"/>
      <c r="D82" s="693"/>
      <c r="E82" s="695" t="str">
        <f>Table_4_UK!$A$1&amp;" Head "&amp;Table_4_UK!A61&amp;" ("&amp;Table_4_UK!S3&amp;")"&amp;", "&amp;Table_7_UK!$A$1&amp;" Head "&amp;Table_7_UK!A88&amp;" ("&amp;Table_7_UK!O3&amp;")"</f>
        <v>Table 4: Head 4 (UK-based charities (other)), Table 7: Head 6c (Total expenditure)</v>
      </c>
      <c r="F82" s="695"/>
      <c r="G82" s="79" t="s">
        <v>366</v>
      </c>
      <c r="H82" s="79" t="str">
        <f>IF(AND(OR(Table_4_UK!S61=0,Table_7_UK!O88&lt;&gt;0),OR(Table_7_UK!O88=0,Table_4_UK!S61&lt;&gt;0)),"PASS","FAIL")</f>
        <v>PASS</v>
      </c>
      <c r="I82" s="278" t="str">
        <f>IF(AND(OR(Table_4_UK!S61=0,Table_7_UK!O88&lt;&gt;0),OR(Table_7_UK!O88=0,Table_4_UK!S61&lt;&gt;0)),"",Table_4_UK!$A$1&amp;" Head "&amp;Table_4_UK!A61&amp;" ("&amp;Table_4_UK!S61&amp;")"&amp;", "&amp;Table_7_UK!$A$1&amp;" Head "&amp;Table_7_UK!A88&amp;" ("&amp;Table_7_UK!O88&amp;")")</f>
        <v/>
      </c>
      <c r="J82" s="279" t="str">
        <f>Table_4_UK!S61&amp;", "&amp;Table_7_UK!O88</f>
        <v>264, 287</v>
      </c>
      <c r="K82" s="207">
        <f t="shared" si="2"/>
        <v>0</v>
      </c>
      <c r="L82" s="207">
        <f t="shared" si="3"/>
        <v>0</v>
      </c>
    </row>
    <row r="83" spans="1:12" customFormat="1" ht="30.6" customHeight="1" x14ac:dyDescent="0.25">
      <c r="A83" s="177" t="s">
        <v>479</v>
      </c>
      <c r="B83" s="693" t="s">
        <v>480</v>
      </c>
      <c r="C83" s="693"/>
      <c r="D83" s="693"/>
      <c r="E83" s="695" t="str">
        <f>Table_4_UK!$A$1&amp;" Head "&amp;Table_4_UK!A61&amp;" ("&amp;Table_4_UK!T3&amp;")"&amp;", "&amp;Table_7_UK!$A$1&amp;" Head "&amp;Table_7_UK!A89&amp;" ("&amp;Table_7_UK!O3&amp;")"</f>
        <v>Table 4: Head 4 (UK central government bodies/local authorities, health and hospital authorities), Table 7: Head 6d (Total expenditure)</v>
      </c>
      <c r="F83" s="695"/>
      <c r="G83" s="79" t="s">
        <v>366</v>
      </c>
      <c r="H83" s="79" t="str">
        <f>IF(AND(OR(Table_4_UK!T61=0,Table_7_UK!O89&lt;&gt;0),OR(Table_7_UK!O89=0,Table_4_UK!T61&lt;&gt;0)),"PASS","FAIL")</f>
        <v>PASS</v>
      </c>
      <c r="I83" s="278" t="str">
        <f>IF(AND(OR(Table_4_UK!T61=0,Table_7_UK!O89&lt;&gt;0),OR(Table_7_UK!O89=0,Table_4_UK!T61&lt;&gt;0)),"",Table_4_UK!$A$1&amp;" Head "&amp;Table_4_UK!A61&amp;" ("&amp;Table_4_UK!T61&amp;")"&amp;", "&amp;Table_7_UK!$A$1&amp;" Head "&amp;Table_7_UK!A89&amp;" ("&amp;Table_7_UK!O89&amp;")")</f>
        <v/>
      </c>
      <c r="J83" s="279" t="str">
        <f>Table_4_UK!T61&amp;", "&amp;Table_7_UK!O89</f>
        <v>52041, 24812</v>
      </c>
      <c r="K83" s="207">
        <f t="shared" si="2"/>
        <v>0</v>
      </c>
      <c r="L83" s="207">
        <f t="shared" si="3"/>
        <v>0</v>
      </c>
    </row>
    <row r="84" spans="1:12" customFormat="1" ht="30.6" customHeight="1" x14ac:dyDescent="0.25">
      <c r="A84" s="177" t="s">
        <v>481</v>
      </c>
      <c r="B84" s="693" t="s">
        <v>482</v>
      </c>
      <c r="C84" s="693"/>
      <c r="D84" s="693"/>
      <c r="E84" s="695" t="str">
        <f>Table_4_UK!$A$1&amp;" Head "&amp;Table_4_UK!A61&amp;" ("&amp;Table_4_UK!V3&amp;")"&amp;", "&amp;Table_7_UK!$A$1&amp;" Head "&amp;Table_7_UK!A90&amp;" ("&amp;Table_7_UK!O3&amp;")"</f>
        <v>Table 4: Head 4 (UK industry, commerce and public corporations), Table 7: Head 6e (Total expenditure)</v>
      </c>
      <c r="F84" s="695"/>
      <c r="G84" s="79" t="s">
        <v>366</v>
      </c>
      <c r="H84" s="79" t="str">
        <f>IF(AND(OR(Table_4_UK!V61=0,Table_7_UK!O90&lt;&gt;0),OR(Table_7_UK!O90=0,Table_4_UK!V61&lt;&gt;0)),"PASS","FAIL")</f>
        <v>PASS</v>
      </c>
      <c r="I84" s="278" t="str">
        <f>IF(AND(OR(Table_4_UK!V61=0,Table_7_UK!O90&lt;&gt;0),OR(Table_7_UK!O90=0,Table_4_UK!V61&lt;&gt;0)),"",Table_4_UK!$A$1&amp;" Head "&amp;Table_4_UK!A61&amp;" ("&amp;Table_4_UK!V61&amp;")"&amp;", "&amp;Table_7_UK!$A$1&amp;" Head "&amp;Table_7_UK!A90&amp;" ("&amp;Table_7_UK!O90&amp;")")</f>
        <v/>
      </c>
      <c r="J84" s="279" t="str">
        <f>Table_4_UK!V61&amp;", "&amp;Table_7_UK!O90</f>
        <v>6895, 5311</v>
      </c>
      <c r="K84" s="207">
        <f t="shared" si="2"/>
        <v>0</v>
      </c>
      <c r="L84" s="207">
        <f t="shared" si="3"/>
        <v>0</v>
      </c>
    </row>
    <row r="85" spans="1:12" customFormat="1" ht="30.6" customHeight="1" x14ac:dyDescent="0.25">
      <c r="A85" s="177" t="s">
        <v>483</v>
      </c>
      <c r="B85" s="693" t="s">
        <v>484</v>
      </c>
      <c r="C85" s="693"/>
      <c r="D85" s="693"/>
      <c r="E85" s="695" t="str">
        <f>Table_4_UK!$A$1&amp;" Head "&amp;Table_4_UK!A61&amp;" ("&amp;Table_4_UK!W3&amp;")"&amp;", "&amp;Table_7_UK!$A$1&amp;" Head "&amp;Table_7_UK!A91&amp;" ("&amp;Table_7_UK!O3&amp;")"</f>
        <v>Table 4: Head 4 (UK other sources), Table 7: Head 6f (Total expenditure)</v>
      </c>
      <c r="F85" s="695"/>
      <c r="G85" s="79" t="s">
        <v>366</v>
      </c>
      <c r="H85" s="79" t="str">
        <f>IF(AND(OR(Table_4_UK!W61=0,Table_7_UK!O91&lt;&gt;0),OR(Table_7_UK!O91=0,Table_4_UK!W61&lt;&gt;0)),"PASS","FAIL")</f>
        <v>PASS</v>
      </c>
      <c r="I85" s="278" t="str">
        <f>IF(AND(OR(Table_4_UK!W61=0,Table_7_UK!O91&lt;&gt;0),OR(Table_7_UK!O91=0,Table_4_UK!W61&lt;&gt;0)),"",Table_4_UK!$A$1&amp;" Head "&amp;Table_4_UK!A61&amp;" ("&amp;Table_4_UK!W61&amp;")"&amp;", "&amp;Table_7_UK!$A$1&amp;" Head "&amp;Table_7_UK!A91&amp;" ("&amp;Table_7_UK!O91&amp;")")</f>
        <v/>
      </c>
      <c r="J85" s="279" t="str">
        <f>Table_4_UK!W61&amp;", "&amp;Table_7_UK!O91</f>
        <v>1837, 2647</v>
      </c>
      <c r="K85" s="207">
        <f t="shared" si="2"/>
        <v>0</v>
      </c>
      <c r="L85" s="207">
        <f t="shared" si="3"/>
        <v>0</v>
      </c>
    </row>
    <row r="86" spans="1:12" customFormat="1" ht="30.6" customHeight="1" x14ac:dyDescent="0.25">
      <c r="A86" s="177" t="s">
        <v>485</v>
      </c>
      <c r="B86" s="693" t="s">
        <v>486</v>
      </c>
      <c r="C86" s="693"/>
      <c r="D86" s="693"/>
      <c r="E86" s="695" t="str">
        <f>Table_4_UK!$A$1&amp;" Head "&amp;Table_4_UK!A61&amp;" ("&amp;Table_4_UK!X3&amp;")"&amp;", "&amp;Table_7_UK!$A$1&amp;" Head "&amp;Table_7_UK!A92&amp;" ("&amp;Table_7_UK!O3&amp;")"</f>
        <v>Table 4: Head 4 (EU government bodies), Table 7: Head 6g (Total expenditure)</v>
      </c>
      <c r="F86" s="695"/>
      <c r="G86" s="79" t="s">
        <v>366</v>
      </c>
      <c r="H86" s="79" t="str">
        <f>IF(AND(OR(Table_4_UK!X61=0,Table_7_UK!O92&lt;&gt;0),OR(Table_7_UK!O92=0,Table_4_UK!X61&lt;&gt;0)),"PASS","FAIL")</f>
        <v>PASS</v>
      </c>
      <c r="I86" s="278" t="str">
        <f>IF(AND(OR(Table_4_UK!X61=0,Table_7_UK!O92&lt;&gt;0),OR(Table_7_UK!O92=0,Table_4_UK!X61&lt;&gt;0)),"",Table_4_UK!$A$1&amp;" Head "&amp;Table_4_UK!A61&amp;" ("&amp;Table_4_UK!X61&amp;")"&amp;", "&amp;Table_7_UK!$A$1&amp;" Head "&amp;Table_7_UK!A92&amp;" ("&amp;Table_7_UK!O92&amp;")")</f>
        <v/>
      </c>
      <c r="J86" s="279" t="str">
        <f>Table_4_UK!X61&amp;", "&amp;Table_7_UK!O92</f>
        <v>34937, 29968</v>
      </c>
      <c r="K86" s="207">
        <f t="shared" si="2"/>
        <v>0</v>
      </c>
      <c r="L86" s="207">
        <f t="shared" si="3"/>
        <v>0</v>
      </c>
    </row>
    <row r="87" spans="1:12" customFormat="1" ht="30.6" customHeight="1" x14ac:dyDescent="0.25">
      <c r="A87" s="177" t="s">
        <v>487</v>
      </c>
      <c r="B87" s="693" t="s">
        <v>488</v>
      </c>
      <c r="C87" s="693"/>
      <c r="D87" s="693"/>
      <c r="E87" s="695" t="str">
        <f>Table_4_UK!$A$1&amp;" Head "&amp;Table_4_UK!A61&amp;" ("&amp;Table_4_UK!Y3&amp;")"&amp;", "&amp;Table_7_UK!$A$1&amp;" Head "&amp;Table_7_UK!A93&amp;" ("&amp;Table_7_UK!O3&amp;")"</f>
        <v>Table 4: Head 4 (EU-based charities (open competitive process)), Table 7: Head 6h (Total expenditure)</v>
      </c>
      <c r="F87" s="695"/>
      <c r="G87" s="79" t="s">
        <v>366</v>
      </c>
      <c r="H87" s="79" t="str">
        <f>IF(AND(OR(Table_4_UK!Y61=0,Table_7_UK!O93&lt;&gt;0),OR(Table_7_UK!O93=0,Table_4_UK!Y61&lt;&gt;0)),"PASS","FAIL")</f>
        <v>PASS</v>
      </c>
      <c r="I87" s="278" t="str">
        <f>IF(AND(OR(Table_4_UK!Y61=0,Table_7_UK!O93&lt;&gt;0),OR(Table_7_UK!O93=0,Table_4_UK!Y61&lt;&gt;0)),"",Table_4_UK!$A$1&amp;" Head "&amp;Table_4_UK!A61&amp;" ("&amp;Table_4_UK!Y61&amp;")"&amp;", "&amp;Table_7_UK!$A$1&amp;" Head "&amp;Table_7_UK!A93&amp;" ("&amp;Table_7_UK!O93&amp;")")</f>
        <v/>
      </c>
      <c r="J87" s="279" t="str">
        <f>Table_4_UK!Y61&amp;", "&amp;Table_7_UK!O93</f>
        <v>137, 151</v>
      </c>
      <c r="K87" s="207">
        <f t="shared" si="2"/>
        <v>0</v>
      </c>
      <c r="L87" s="207">
        <f t="shared" si="3"/>
        <v>0</v>
      </c>
    </row>
    <row r="88" spans="1:12" customFormat="1" ht="30.6" customHeight="1" x14ac:dyDescent="0.25">
      <c r="A88" s="177" t="s">
        <v>489</v>
      </c>
      <c r="B88" s="693" t="s">
        <v>490</v>
      </c>
      <c r="C88" s="693"/>
      <c r="D88" s="693"/>
      <c r="E88" s="695" t="str">
        <f>Table_4_UK!$A$1&amp;" Head "&amp;Table_4_UK!A61&amp;" ("&amp;Table_4_UK!Z3&amp;")"&amp;", "&amp;Table_7_UK!$A$1&amp;" Head "&amp;Table_7_UK!A94&amp;" ("&amp;Table_7_UK!O3&amp;")"</f>
        <v>Table 4: Head 4 (EU industry, commerce and public corporations), Table 7: Head 6i (Total expenditure)</v>
      </c>
      <c r="F88" s="695"/>
      <c r="G88" s="79" t="s">
        <v>366</v>
      </c>
      <c r="H88" s="79" t="str">
        <f>IF(AND(OR(Table_4_UK!Z61=0,Table_7_UK!O94&lt;&gt;0),OR(Table_7_UK!O94=0,Table_4_UK!Z61&lt;&gt;0)),"PASS","FAIL")</f>
        <v>PASS</v>
      </c>
      <c r="I88" s="278" t="str">
        <f>IF(AND(OR(Table_4_UK!Z61=0,Table_7_UK!O94&lt;&gt;0),OR(Table_7_UK!O94=0,Table_4_UK!Z61&lt;&gt;0)),"",Table_4_UK!$A$1&amp;" Head "&amp;Table_4_UK!A61&amp;" ("&amp;Table_4_UK!Z61&amp;")"&amp;", "&amp;Table_7_UK!$A$1&amp;" Head "&amp;Table_7_UK!A94&amp;" ("&amp;Table_7_UK!O94&amp;")")</f>
        <v/>
      </c>
      <c r="J88" s="279" t="str">
        <f>Table_4_UK!Z61&amp;", "&amp;Table_7_UK!O94</f>
        <v>2167, 1529</v>
      </c>
      <c r="K88" s="207">
        <f t="shared" ref="K88:K119" si="4">IF(AND(G88="Error",H88="FAIL"),1,0)</f>
        <v>0</v>
      </c>
      <c r="L88" s="207">
        <f t="shared" ref="L88:L119" si="5">IF(AND(G88="Warning",H88="FAIL"),1,0)</f>
        <v>0</v>
      </c>
    </row>
    <row r="89" spans="1:12" customFormat="1" ht="30.6" customHeight="1" x14ac:dyDescent="0.25">
      <c r="A89" s="177" t="s">
        <v>491</v>
      </c>
      <c r="B89" s="693" t="s">
        <v>492</v>
      </c>
      <c r="C89" s="693"/>
      <c r="D89" s="693"/>
      <c r="E89" s="695" t="str">
        <f>Table_4_UK!$A$1&amp;" Head "&amp;Table_4_UK!A61&amp;" ("&amp;Table_4_UK!AA3&amp;")"&amp;", "&amp;Table_7_UK!$A$1&amp;" Head "&amp;Table_7_UK!A95&amp;" ("&amp;Table_7_UK!O3&amp;")"</f>
        <v>Table 4: Head 4 (EU (excluding UK) other), Table 7: Head 6j (Total expenditure)</v>
      </c>
      <c r="F89" s="695"/>
      <c r="G89" s="79" t="s">
        <v>366</v>
      </c>
      <c r="H89" s="79" t="str">
        <f>IF(AND(OR(Table_4_UK!AA61=0,Table_7_UK!O95&lt;&gt;0),OR(Table_7_UK!O95=0,Table_4_UK!AA61&lt;&gt;0)),"PASS","FAIL")</f>
        <v>PASS</v>
      </c>
      <c r="I89" s="278" t="str">
        <f>IF(AND(OR(Table_4_UK!AA61=0,Table_7_UK!O95&lt;&gt;0),OR(Table_7_UK!O95=0,Table_4_UK!AA61&lt;&gt;0)),"",Table_4_UK!$A$1&amp;" Head "&amp;Table_4_UK!A61&amp;" ("&amp;Table_4_UK!AA61&amp;")"&amp;", "&amp;Table_7_UK!$A$1&amp;" Head "&amp;Table_7_UK!A95&amp;" ("&amp;Table_7_UK!O95&amp;")")</f>
        <v/>
      </c>
      <c r="J89" s="279" t="str">
        <f>Table_4_UK!AA61&amp;", "&amp;Table_7_UK!O95</f>
        <v>1502, 1309</v>
      </c>
      <c r="K89" s="207">
        <f t="shared" si="4"/>
        <v>0</v>
      </c>
      <c r="L89" s="207">
        <f t="shared" si="5"/>
        <v>0</v>
      </c>
    </row>
    <row r="90" spans="1:12" customFormat="1" ht="30.6" customHeight="1" x14ac:dyDescent="0.25">
      <c r="A90" s="177" t="s">
        <v>493</v>
      </c>
      <c r="B90" s="693" t="s">
        <v>494</v>
      </c>
      <c r="C90" s="693"/>
      <c r="D90" s="693"/>
      <c r="E90" s="695" t="str">
        <f>Table_4_UK!$A$1&amp;" Head "&amp;Table_4_UK!A61&amp;" ("&amp;Table_4_UK!AB3&amp;")"&amp;", "&amp;Table_7_UK!$A$1&amp;" Head "&amp;Table_7_UK!A96&amp;" ("&amp;Table_7_UK!O3&amp;")"</f>
        <v>Table 4: Head 4 (Non-EU-based charities (open competitive process)), Table 7: Head 6k (Total expenditure)</v>
      </c>
      <c r="F90" s="695"/>
      <c r="G90" s="79" t="s">
        <v>366</v>
      </c>
      <c r="H90" s="79" t="str">
        <f>IF(AND(OR(Table_4_UK!AB61=0,Table_7_UK!O96&lt;&gt;0),OR(Table_7_UK!O96=0,Table_4_UK!AB61&lt;&gt;0)),"PASS","FAIL")</f>
        <v>PASS</v>
      </c>
      <c r="I90" s="278" t="str">
        <f>IF(AND(OR(Table_4_UK!AB61=0,Table_7_UK!O96&lt;&gt;0),OR(Table_7_UK!O96=0,Table_4_UK!AB61&lt;&gt;0)),"",Table_4_UK!$A$1&amp;" Head "&amp;Table_4_UK!A61&amp;" ("&amp;Table_4_UK!AB61&amp;")"&amp;", "&amp;Table_7_UK!$A$1&amp;" Head "&amp;Table_7_UK!A96&amp;" ("&amp;Table_7_UK!O96&amp;")")</f>
        <v/>
      </c>
      <c r="J90" s="279" t="str">
        <f>Table_4_UK!AB61&amp;", "&amp;Table_7_UK!O96</f>
        <v>7219, 6836</v>
      </c>
      <c r="K90" s="207">
        <f t="shared" si="4"/>
        <v>0</v>
      </c>
      <c r="L90" s="207">
        <f t="shared" si="5"/>
        <v>0</v>
      </c>
    </row>
    <row r="91" spans="1:12" customFormat="1" ht="30.6" customHeight="1" x14ac:dyDescent="0.25">
      <c r="A91" s="177" t="s">
        <v>495</v>
      </c>
      <c r="B91" s="693" t="s">
        <v>496</v>
      </c>
      <c r="C91" s="693"/>
      <c r="D91" s="693"/>
      <c r="E91" s="695" t="str">
        <f>Table_4_UK!$A$1&amp;" Head "&amp;Table_4_UK!A61&amp;" ("&amp;Table_4_UK!AC3&amp;")"&amp;", "&amp;Table_7_UK!$A$1&amp;" Head "&amp;Table_7_UK!A97&amp;" ("&amp;Table_7_UK!O3&amp;")"</f>
        <v>Table 4: Head 4 (Non-EU industry, commerce and public corporations), Table 7: Head 6l (Total expenditure)</v>
      </c>
      <c r="F91" s="695"/>
      <c r="G91" s="79" t="s">
        <v>366</v>
      </c>
      <c r="H91" s="79" t="str">
        <f>IF(AND(OR(Table_4_UK!AC61=0,Table_7_UK!O97&lt;&gt;0),OR(Table_7_UK!O97=0,Table_4_UK!AC61&lt;&gt;0)),"PASS","FAIL")</f>
        <v>PASS</v>
      </c>
      <c r="I91" s="278" t="str">
        <f>IF(AND(OR(Table_4_UK!AC61=0,Table_7_UK!O97&lt;&gt;0),OR(Table_7_UK!O97=0,Table_4_UK!AC61&lt;&gt;0)),"",Table_4_UK!$A$1&amp;" Head "&amp;Table_4_UK!A61&amp;" ("&amp;Table_4_UK!AC61&amp;")"&amp;", "&amp;Table_7_UK!$A$1&amp;" Head "&amp;Table_7_UK!A97&amp;" ("&amp;Table_7_UK!O97&amp;")")</f>
        <v/>
      </c>
      <c r="J91" s="279" t="str">
        <f>Table_4_UK!AC61&amp;", "&amp;Table_7_UK!O97</f>
        <v>6251, 6912</v>
      </c>
      <c r="K91" s="207">
        <f t="shared" si="4"/>
        <v>0</v>
      </c>
      <c r="L91" s="207">
        <f t="shared" si="5"/>
        <v>0</v>
      </c>
    </row>
    <row r="92" spans="1:12" customFormat="1" ht="30.6" customHeight="1" x14ac:dyDescent="0.25">
      <c r="A92" s="177" t="s">
        <v>497</v>
      </c>
      <c r="B92" s="693" t="s">
        <v>498</v>
      </c>
      <c r="C92" s="693"/>
      <c r="D92" s="693"/>
      <c r="E92" s="695" t="str">
        <f>Table_4_UK!$A$1&amp;" Head "&amp;Table_4_UK!A61&amp;" ("&amp;Table_4_UK!AD3&amp;")"&amp;", "&amp;Table_7_UK!$A$1&amp;" Head "&amp;Table_7_UK!A98&amp;" ("&amp;Table_7_UK!O3&amp;")"</f>
        <v>Table 4: Head 4 (Non-EU other), Table 7: Head 6m (Total expenditure)</v>
      </c>
      <c r="F92" s="695"/>
      <c r="G92" s="79" t="s">
        <v>366</v>
      </c>
      <c r="H92" s="79" t="str">
        <f>IF(AND(OR(Table_4_UK!AD61=0,Table_7_UK!O98&lt;&gt;0),OR(Table_7_UK!O98=0,Table_4_UK!AD61&lt;&gt;0)),"PASS","FAIL")</f>
        <v>PASS</v>
      </c>
      <c r="I92" s="278" t="str">
        <f>IF(AND(OR(Table_4_UK!AD61=0,Table_7_UK!O98&lt;&gt;0),OR(Table_7_UK!O98=0,Table_4_UK!AD61&lt;&gt;0)),"",Table_4_UK!$A$1&amp;" Head "&amp;Table_4_UK!A61&amp;" ("&amp;Table_4_UK!AD61&amp;")"&amp;", "&amp;Table_7_UK!$A$1&amp;" Head "&amp;Table_7_UK!A98&amp;" ("&amp;Table_7_UK!O98&amp;")")</f>
        <v/>
      </c>
      <c r="J92" s="279" t="str">
        <f>Table_4_UK!AD61&amp;", "&amp;Table_7_UK!O98</f>
        <v>7371, 5684</v>
      </c>
      <c r="K92" s="207">
        <f t="shared" si="4"/>
        <v>0</v>
      </c>
      <c r="L92" s="207">
        <f t="shared" si="5"/>
        <v>0</v>
      </c>
    </row>
    <row r="93" spans="1:12" customFormat="1" ht="15.4" customHeight="1" x14ac:dyDescent="0.25">
      <c r="A93" s="170" t="s">
        <v>499</v>
      </c>
      <c r="B93" s="693" t="s">
        <v>500</v>
      </c>
      <c r="C93" s="693"/>
      <c r="D93" s="693"/>
      <c r="E93" s="694" t="str">
        <f>Table_5_UK!$A$1&amp;" Head "&amp;Table_5_UK!A63&amp;", "&amp;Table_5_UK!A65</f>
        <v>Table 5: Head 4a, 4c</v>
      </c>
      <c r="F93" s="694"/>
      <c r="G93" s="270" t="s">
        <v>361</v>
      </c>
      <c r="H93" s="271" t="str">
        <f>IF(OR(Table_5_UK!K65=0,Table_5_UK!K65&gt;Table_5_UK!K63),"PASS","FAIL")</f>
        <v>PASS</v>
      </c>
      <c r="I93" s="272" t="str">
        <f>IF(OR(Table_5_UK!K65=0,Table_5_UK!K65&gt;Table_5_UK!K63),"","Head "&amp;Table_5_UK!A63&amp;", "&amp;Table_5_UK!A65&amp;" ("&amp;J93&amp;")")</f>
        <v/>
      </c>
      <c r="J93" s="273" t="str">
        <f>Table_5_UK!K63&amp;", "&amp;Table_5_UK!K65</f>
        <v>0, 16179</v>
      </c>
      <c r="K93" s="207">
        <f t="shared" si="4"/>
        <v>0</v>
      </c>
      <c r="L93" s="207">
        <f t="shared" si="5"/>
        <v>0</v>
      </c>
    </row>
    <row r="94" spans="1:12" s="4" customFormat="1" ht="30.6" customHeight="1" x14ac:dyDescent="0.2">
      <c r="A94" s="170" t="s">
        <v>501</v>
      </c>
      <c r="B94" s="693" t="s">
        <v>502</v>
      </c>
      <c r="C94" s="693"/>
      <c r="D94" s="693"/>
      <c r="E94" s="694" t="str">
        <f>Table_5_UK!$A$1&amp;" Head "&amp;Table_5_UK!A26&amp;" "&amp;Table_5_UK!A27&amp;", "&amp;Table_5_UK!A28&amp;", "&amp;Table_5_UK!A29&amp;", "&amp;Table_5_UK!A31</f>
        <v>Table 5: Head 1c i, ii, iii, v</v>
      </c>
      <c r="F94" s="694"/>
      <c r="G94" s="79" t="s">
        <v>361</v>
      </c>
      <c r="H94" s="276" t="str">
        <f>IF(AND($B$4="S",Table_5_UK!H27+Table_5_UK!H28+Table_5_UK!H29+Table_5_UK!H31=0),"FAIL","PASS")</f>
        <v>PASS</v>
      </c>
      <c r="I94" s="272" t="str">
        <f>IF(AND($B$4="S",Table_5_UK!H27+Table_5_UK!H28+Table_5_UK!H29+Table_5_UK!H31=0),"Head "&amp;Table_5_UK!A26&amp;" "&amp;Table_5_UK!A27&amp;", "&amp;Table_5_UK!A28&amp;", "&amp;Table_5_UK!A29&amp;", "&amp;Table_5_UK!A31&amp;" ("&amp;J94&amp;")","")</f>
        <v/>
      </c>
      <c r="J94" s="277">
        <f>SUM(Table_5_UK!H27+Table_5_UK!H28+Table_5_UK!H29+Table_5_UK!H31)</f>
        <v>65655</v>
      </c>
      <c r="K94" s="78">
        <f t="shared" si="4"/>
        <v>0</v>
      </c>
      <c r="L94" s="78">
        <f t="shared" si="5"/>
        <v>0</v>
      </c>
    </row>
    <row r="95" spans="1:12" customFormat="1" ht="30.6" customHeight="1" x14ac:dyDescent="0.25">
      <c r="A95" s="170" t="s">
        <v>503</v>
      </c>
      <c r="B95" s="693" t="s">
        <v>504</v>
      </c>
      <c r="C95" s="693"/>
      <c r="D95" s="693"/>
      <c r="E95" s="694" t="str">
        <f>Table_5_UK!$A$1&amp;" Head "&amp;Table_5_UK!A26&amp;" "&amp;Table_5_UK!A27&amp;", "&amp;Table_5_UK!A28&amp;", "&amp;Table_5_UK!A29&amp;", "&amp;Table_5_UK!A31</f>
        <v>Table 5: Head 1c i, ii, iii, v</v>
      </c>
      <c r="F95" s="694"/>
      <c r="G95" s="79" t="s">
        <v>361</v>
      </c>
      <c r="H95" s="271" t="str">
        <f>IF(AND($B$4="W",Table_5_UK!H27+Table_5_UK!H28+Table_5_UK!H29+Table_5_UK!H31=0),"FAIL","PASS")</f>
        <v>PASS</v>
      </c>
      <c r="I95" s="272" t="str">
        <f>IF(AND($B$4="W",Table_5_UK!H27+Table_5_UK!H28+Table_5_UK!H29+Table_5_UK!H31=0),"Head "&amp;Table_5_UK!A26&amp;" "&amp;Table_5_UK!A27&amp;", "&amp;Table_5_UK!A28&amp;", "&amp;Table_5_UK!A29&amp;", "&amp;Table_5_UK!A31&amp;" ("&amp;J95&amp;")","")</f>
        <v/>
      </c>
      <c r="J95" s="277">
        <f>SUM(Table_5_UK!H27+Table_5_UK!H28+Table_5_UK!H29+Table_5_UK!H31)</f>
        <v>65655</v>
      </c>
      <c r="K95" s="207">
        <f t="shared" si="4"/>
        <v>0</v>
      </c>
      <c r="L95" s="207">
        <f t="shared" si="5"/>
        <v>0</v>
      </c>
    </row>
    <row r="96" spans="1:12" customFormat="1" ht="30.6" customHeight="1" x14ac:dyDescent="0.25">
      <c r="A96" s="170" t="s">
        <v>505</v>
      </c>
      <c r="B96" s="693" t="s">
        <v>506</v>
      </c>
      <c r="C96" s="693"/>
      <c r="D96" s="693"/>
      <c r="E96" s="694" t="str">
        <f>Table_5_UK!$A$1&amp;" Head "&amp;Table_5_UK!A26&amp;" "&amp;Table_5_UK!A27&amp;", "&amp;Table_5_UK!A28&amp;", "&amp;Table_5_UK!A29&amp;", "&amp;Table_5_UK!A31</f>
        <v>Table 5: Head 1c i, ii, iii, v</v>
      </c>
      <c r="F96" s="694"/>
      <c r="G96" s="79" t="s">
        <v>361</v>
      </c>
      <c r="H96" s="271" t="str">
        <f>IF(AND($B$4="N",Table_5_UK!H27+Table_5_UK!H28+Table_5_UK!H29+Table_5_UK!H31=0),"FAIL","PASS")</f>
        <v>PASS</v>
      </c>
      <c r="I96" s="272" t="str">
        <f>IF(AND($B$4="N",Table_5_UK!H27+Table_5_UK!H28+Table_5_UK!H29+Table_5_UK!H31=0),"Head "&amp;Table_5_UK!A26&amp;" "&amp;Table_5_UK!A27&amp;", "&amp;Table_5_UK!A28&amp;", "&amp;Table_5_UK!A29&amp;", "&amp;Table_5_UK!A31&amp;" ("&amp;J96&amp;")","")</f>
        <v/>
      </c>
      <c r="J96" s="277">
        <f>SUM(Table_5_UK!H27+Table_5_UK!H28+Table_5_UK!H29+Table_5_UK!H31)</f>
        <v>65655</v>
      </c>
      <c r="K96" s="207">
        <f t="shared" si="4"/>
        <v>0</v>
      </c>
      <c r="L96" s="207">
        <f t="shared" si="5"/>
        <v>0</v>
      </c>
    </row>
    <row r="97" spans="1:12" customFormat="1" ht="15.6" customHeight="1" x14ac:dyDescent="0.25">
      <c r="A97" s="170" t="s">
        <v>507</v>
      </c>
      <c r="B97" s="693" t="s">
        <v>508</v>
      </c>
      <c r="C97" s="693"/>
      <c r="D97" s="693"/>
      <c r="E97" s="694" t="str">
        <f>Table_5_UK!$A$1&amp;" Head "&amp;Table_5_UK!A36&amp;Table_5_UK!A44</f>
        <v>Table 5: Head 1dviii</v>
      </c>
      <c r="F97" s="694"/>
      <c r="G97" s="79" t="s">
        <v>366</v>
      </c>
      <c r="H97" s="271" t="str">
        <f>IF(Table_5_UK!K44&lt;=0,"FAIL","PASS")</f>
        <v>PASS</v>
      </c>
      <c r="I97" s="272" t="str">
        <f>IF(Table_5_UK!K44&lt;=0,"Head "&amp;Table_5_UK!A36&amp;Table_5_UK!A44&amp;" ("&amp;J97&amp;")","")</f>
        <v/>
      </c>
      <c r="J97" s="277">
        <f>Table_5_UK!K44</f>
        <v>23993</v>
      </c>
      <c r="K97" s="207">
        <f t="shared" si="4"/>
        <v>0</v>
      </c>
      <c r="L97" s="207">
        <f t="shared" si="5"/>
        <v>0</v>
      </c>
    </row>
    <row r="98" spans="1:12" customFormat="1" ht="15.6" customHeight="1" x14ac:dyDescent="0.25">
      <c r="A98" s="170" t="s">
        <v>509</v>
      </c>
      <c r="B98" s="693" t="s">
        <v>510</v>
      </c>
      <c r="C98" s="693"/>
      <c r="D98" s="693"/>
      <c r="E98" s="694" t="str">
        <f>Table_5_UK!$A$1&amp;" Head "&amp;Table_5_UK!A48&amp;Table_5_UK!A56</f>
        <v>Table 5: Head 1fviii</v>
      </c>
      <c r="F98" s="694"/>
      <c r="G98" s="79" t="s">
        <v>366</v>
      </c>
      <c r="H98" s="271" t="str">
        <f>IF(Table_5_UK!K56&lt;=0,"FAIL","PASS")</f>
        <v>PASS</v>
      </c>
      <c r="I98" s="272" t="str">
        <f>IF(Table_5_UK!K56&lt;=0,"Head "&amp;Table_5_UK!A48&amp;Table_5_UK!A56&amp;" ("&amp;J98&amp;")","")</f>
        <v/>
      </c>
      <c r="J98" s="277">
        <f>Table_5_UK!K56</f>
        <v>244784</v>
      </c>
      <c r="K98" s="207">
        <f t="shared" si="4"/>
        <v>0</v>
      </c>
      <c r="L98" s="207">
        <f t="shared" si="5"/>
        <v>0</v>
      </c>
    </row>
    <row r="99" spans="1:12" customFormat="1" ht="31.35" customHeight="1" x14ac:dyDescent="0.25">
      <c r="A99" s="170" t="s">
        <v>511</v>
      </c>
      <c r="B99" s="693" t="s">
        <v>512</v>
      </c>
      <c r="C99" s="693"/>
      <c r="D99" s="693"/>
      <c r="E99" s="694" t="str">
        <f>Table_5_UK!$A$1&amp;" Head "&amp;Table_5_UK!A26&amp;", "&amp;Table_5_UK!A36&amp;", "&amp;Table_5_UK!A48&amp;", "&amp;Table_5_UK!A60&amp;", "&amp;Table_5_UK!A61&amp;", "&amp;Table_5_UK!A62</f>
        <v>Table 5: Head 1c, 1d, 1f, 2, 3, 4</v>
      </c>
      <c r="F99" s="694"/>
      <c r="G99" s="79" t="s">
        <v>366</v>
      </c>
      <c r="H99" s="271" t="str">
        <f>IF(AND(Table_5_UK!T8&gt;19, Table_5_UK!T8&lt;25),"FAIL","PASS")</f>
        <v>PASS</v>
      </c>
      <c r="I99" s="272" t="str">
        <f>IF(AND(Table_5_UK!T8&gt;19, Table_5_UK!T8&lt;25),"Head "&amp;Table_5_UK!A26&amp;", "&amp;Table_5_UK!A36&amp;", "&amp;Table_5_UK!A48&amp;", "&amp;Table_5_UK!A60&amp;", "&amp;Table_5_UK!A61&amp;", "&amp;Table_5_UK!A62&amp;" ("&amp;J99&amp;")","")</f>
        <v/>
      </c>
      <c r="J99" s="280" t="str">
        <f>Table_5_UK!K27&amp;", "&amp;Table_5_UK!K28&amp;", "&amp;Table_5_UK!K29&amp;", "&amp;Table_5_UK!K30&amp;", "&amp;Table_5_UK!K31&amp;", "&amp;Table_5_UK!K32&amp;", "&amp;Table_5_UK!K33&amp;", "&amp;Table_5_UK!K37&amp;", "&amp;Table_5_UK!K38&amp;", "&amp;Table_5_UK!K39&amp;", "&amp;Table_5_UK!K40&amp;", "&amp;Table_5_UK!K41&amp;", "&amp;Table_5_UK!K42&amp;", "&amp;Table_5_UK!K43&amp;", "&amp;Table_5_UK!K49&amp;", "&amp;Table_5_UK!K50&amp;", "&amp;Table_5_UK!K51&amp;", "&amp;Table_5_UK!K52&amp;", "&amp;Table_5_UK!K53&amp;", "&amp;Table_5_UK!K54&amp;", "&amp;Table_5_UK!K55&amp;", "&amp;Table_5_UK!K60&amp;", "&amp;Table_5_UK!K61&amp;", "&amp;Table_5_UK!K63&amp;", "&amp;Table_5_UK!K64</f>
        <v>78532, 0, 8536, 3776, 339, 7805, 717, 7652, 0, 8693, 3240, 5, 4212, 191, 112881, 0, 101061, 22903, 7156, 538, 245, 5922, 0, 0, 16179</v>
      </c>
      <c r="K99" s="207">
        <f t="shared" si="4"/>
        <v>0</v>
      </c>
      <c r="L99" s="207">
        <f t="shared" si="5"/>
        <v>0</v>
      </c>
    </row>
    <row r="100" spans="1:12" customFormat="1" ht="30.4" customHeight="1" x14ac:dyDescent="0.25">
      <c r="A100" s="170" t="s">
        <v>513</v>
      </c>
      <c r="B100" s="693" t="s">
        <v>514</v>
      </c>
      <c r="C100" s="693"/>
      <c r="D100" s="693"/>
      <c r="E100" s="694" t="str">
        <f>Table_5_UK!$A$1&amp;" Head "&amp;Table_5_UK!A67&amp;", "&amp;Table_1_UK!$A$1&amp;" Head "&amp;Table_1_UK!A6</f>
        <v>Table 5: Head 5, Table 1: Head 1a</v>
      </c>
      <c r="F100" s="694"/>
      <c r="G100" s="79" t="s">
        <v>361</v>
      </c>
      <c r="H100" s="271" t="str">
        <f>IF(Table_5_UK!O67&lt;&gt;Table_1_UK!I6,"FAIL","PASS")</f>
        <v>PASS</v>
      </c>
      <c r="I100" s="272" t="str">
        <f>IF(Table_5_UK!O67&lt;&gt;Table_1_UK!I6,Table_5_UK!$A$1&amp;" Head "&amp;Table_5_UK!A67&amp;" ("&amp;Table_5_UK!O67&amp;")"&amp;", "&amp;Table_1_UK!$A$1&amp;" Head "&amp;Table_1_UK!A6&amp;" ("&amp;Table_1_UK!I6&amp;")","")</f>
        <v/>
      </c>
      <c r="J100" s="277" t="str">
        <f>Table_5_UK!O67&amp;", "&amp;Table_1_UK!I6</f>
        <v>346850, 346850</v>
      </c>
      <c r="K100" s="207">
        <f t="shared" si="4"/>
        <v>0</v>
      </c>
      <c r="L100" s="207">
        <f t="shared" si="5"/>
        <v>0</v>
      </c>
    </row>
    <row r="101" spans="1:12" customFormat="1" ht="70.5" customHeight="1" x14ac:dyDescent="0.25">
      <c r="A101" s="170" t="s">
        <v>515</v>
      </c>
      <c r="B101" s="693" t="s">
        <v>516</v>
      </c>
      <c r="C101" s="693"/>
      <c r="D101" s="693"/>
      <c r="E101" s="694" t="str">
        <f>Table_5_UK!$A$1&amp;" Head "&amp;Table_5_UK!A8&amp;" "&amp;Table_5_UK!A9&amp;", "&amp;Table_5_UK!A10&amp;", "&amp;Table_5_UK!A11&amp;", "&amp;Table_5_UK!A12&amp;", "&amp;Table_5_UK!A13&amp;", "&amp;Table_5_UK!A14&amp;", "&amp;Table_5_UK!A15&amp;", "&amp;Table_5_UK!A17&amp;" "&amp;Table_5_UK!A18&amp;", "&amp;Table_5_UK!A19&amp;", "&amp;Table_5_UK!A20&amp;", "&amp;Table_5_UK!A21&amp;", "&amp;Table_5_UK!A22&amp;", "&amp;Table_5_UK!A23&amp;", "&amp;Table_5_UK!A24&amp;", "&amp;Table_5_UK!A36&amp;" "&amp;Table_5_UK!A37&amp;", "&amp;Table_5_UK!A38&amp;", "&amp;Table_5_UK!A39&amp;", "&amp;Table_5_UK!A40&amp;", "&amp;Table_5_UK!A41&amp;", "&amp;Table_5_UK!A42&amp;", "&amp;Table_5_UK!A43&amp;", "&amp;Table_5_UK!A48&amp;" "&amp;Table_5_UK!A49&amp;", "&amp;Table_5_UK!A50&amp;", "&amp;Table_5_UK!A51&amp;", "&amp;Table_5_UK!A52&amp;", "&amp;Table_5_UK!A53&amp;", "&amp;Table_5_UK!A54&amp;", "&amp;Table_5_UK!A55&amp;", "&amp;Table_5_UK!A60&amp;", "&amp;Table_5_UK!A61&amp;", "&amp;Table_5_UK!A63&amp;", "&amp;Table_5_UK!A64</f>
        <v>Table 5: Head 1a i, ii, iii, iv, v, vi, vii, 1b i, ii, iii, iv, v, vi, vii, 1d i, ii, iii, iv, v, vi, vii, 1f i, ii, iii, iv, v, vi, vii, 2, 3, 4a, 4b</v>
      </c>
      <c r="F101" s="694"/>
      <c r="G101" s="271" t="s">
        <v>366</v>
      </c>
      <c r="H101" s="276" t="str">
        <f>IF(OR(AND(Table_5_UK!U9&gt;750,Table_5_UK!V9&gt;2),AND(Table_5_UK!U9&lt;-750,Table_5_UK!V9&gt;2),AND(Table_5_UK!U10&gt;750,Table_5_UK!V10&gt;2),AND(Table_5_UK!U10&lt;-750,Table_5_UK!V10&gt;2),AND(Table_5_UK!U11&gt;750,Table_5_UK!V11&gt;2),AND(Table_5_UK!U11&lt;-750,Table_5_UK!V11&gt;2),AND(Table_5_UK!U12&gt;750,Table_5_UK!V12&gt;2),AND(Table_5_UK!U12&lt;-750,Table_5_UK!V12&gt;2),AND(Table_5_UK!U13&gt;750,Table_5_UK!V13&gt;2),AND(Table_5_UK!U13&lt;-750,Table_5_UK!V13&gt;2),AND(Table_5_UK!U14&gt;750,Table_5_UK!V14&gt;2),AND(Table_5_UK!U14&lt;-750,Table_5_UK!V14&gt;2),AND(Table_5_UK!U15&gt;750,Table_5_UK!V15&gt;2),AND(Table_5_UK!U15&lt;-750,Table_5_UK!V15&gt;2),AND(Table_5_UK!U18&gt;750,Table_5_UK!V18&gt;2),AND(Table_5_UK!U18&lt;-750,Table_5_UK!V18&gt;2),AND(Table_5_UK!U19&gt;750,Table_5_UK!V19&gt;2),AND(Table_5_UK!U19&lt;-750,Table_5_UK!V19&gt;2),AND(Table_5_UK!U20&gt;750,Table_5_UK!V20&gt;2),AND(Table_5_UK!U20&lt;-750,Table_5_UK!V20&gt;2),AND(Table_5_UK!U21&gt;750,Table_5_UK!V21&gt;2),AND(Table_5_UK!U21&lt;-750,Table_5_UK!V21&gt;2),AND(Table_5_UK!U22&gt;750,Table_5_UK!V22&gt;2),AND(Table_5_UK!U22&lt;-750,Table_5_UK!V22&gt;2),AND(Table_5_UK!U23&gt;750,Table_5_UK!V23&gt;2),AND(Table_5_UK!U23&lt;-750,Table_5_UK!V23&gt;2),AND(Table_5_UK!U24&gt;750,Table_5_UK!V24&gt;2),AND(Table_5_UK!U24&lt;-750,Table_5_UK!V24&gt;2),AND(Table_5_UK!U37&gt;750,Table_5_UK!V37&gt;2),AND(Table_5_UK!U37&lt;-750,Table_5_UK!V37&gt;2),AND(Table_5_UK!U38&gt;750,Table_5_UK!V38&gt;2),AND(Table_5_UK!U38&lt;-750,Table_5_UK!V38&gt;2),AND(Table_5_UK!U39&gt;750,Table_5_UK!V39&gt;2),AND(Table_5_UK!U39&lt;-750,Table_5_UK!V39&gt;2),AND(Table_5_UK!U40&gt;750,Table_5_UK!V40&gt;2),AND(Table_5_UK!U40&lt;-750,Table_5_UK!V40&gt;2),AND(Table_5_UK!U41&gt;750,Table_5_UK!V41&gt;2),AND(Table_5_UK!U41&lt;-750,Table_5_UK!V41&gt;2),AND(Table_5_UK!U42&gt;750,Table_5_UK!V42&gt;2),AND(Table_5_UK!U42&lt;-750,Table_5_UK!V42&gt;2),AND(Table_5_UK!U43&gt;750,Table_5_UK!V43&gt;2),AND(Table_5_UK!U43&lt;-750,Table_5_UK!V43&gt;2),AND(Table_5_UK!U49&gt;750,Table_5_UK!V49&gt;2),AND(Table_5_UK!U49&lt;-750,Table_5_UK!V49&gt;2),AND(Table_5_UK!U50&gt;750,Table_5_UK!V50&gt;2),AND(Table_5_UK!U50&lt;-750,Table_5_UK!V50&gt;2),AND(Table_5_UK!U51&gt;750,Table_5_UK!V51&gt;2),AND(Table_5_UK!U51&lt;-750,Table_5_UK!V51&gt;2),AND(Table_5_UK!U52&gt;750,Table_5_UK!V52&gt;2),AND(Table_5_UK!U52&lt;-750,Table_5_UK!V52&gt;2),AND(Table_5_UK!U53&gt;750,Table_5_UK!V53&gt;2),AND(Table_5_UK!U53&lt;-750,Table_5_UK!V53&gt;2),AND(Table_5_UK!U54&gt;750,Table_5_UK!V54&gt;2),AND(Table_5_UK!U54&lt;-750,Table_5_UK!V54&gt;2),AND(Table_5_UK!U55&gt;750,Table_5_UK!V55&gt;2),AND(Table_5_UK!U55&lt;-750,Table_5_UK!V55&gt;2),AND(Table_5_UK!U60&gt;750,Table_5_UK!V60&gt;2),AND(Table_5_UK!U60&lt;-750,Table_5_UK!V60&gt;2),AND(Table_5_UK!U61&gt;750,Table_5_UK!V61&gt;2),AND(Table_5_UK!U61&lt;-750,Table_5_UK!V61&gt;2),AND(Table_5_UK!U63&gt;750,Table_5_UK!V63&gt;2),AND(Table_5_UK!U63&lt;-750,Table_5_UK!V63&gt;2),AND(Table_5_UK!U64&gt;750,Table_5_UK!V64&gt;2),AND(Table_5_UK!U64&lt;-750,Table_5_UK!V64&gt;2)),"FAIL","PASS")</f>
        <v>PASS</v>
      </c>
      <c r="I101" s="272" t="str">
        <f>IF(Table_5_UK!AC1="FAIL",CONCATENATE(Table_5_UK!AC5," ",Table_5_UK!AC9,Table_5_UK!AC10,Table_5_UK!AC11,Table_5_UK!AC12,Table_5_UK!AC13,Table_5_UK!AC14,Table_5_UK!AC15,Table_5_UK!AC18,Table_5_UK!AC19,Table_5_UK!AC20,Table_5_UK!AC21,Table_5_UK!AC22,Table_5_UK!AC23,Table_5_UK!AC24,Table_5_UK!AC37,Table_5_UK!AC38,Table_5_UK!AC39,Table_5_UK!AC40,Table_5_UK!AC41,Table_5_UK!AC42,Table_5_UK!AC43,Table_5_UK!AC49,Table_5_UK!AC50,Table_5_UK!AC51,Table_5_UK!AC52,Table_5_UK!AC53,Table_5_UK!AC54,Table_5_UK!AC55,Table_5_UK!AC60,Table_5_UK!AC61,Table_5_UK!AC63,Table_5_UK!AC64),"")</f>
        <v/>
      </c>
      <c r="J101" s="277" t="str">
        <f>Table_5_UK!K9&amp;", "&amp;Table_5_UK!K10&amp;", "&amp;Table_5_UK!K11&amp;", "&amp;Table_5_UK!K12&amp;", "&amp;Table_5_UK!K13&amp;", "&amp;Table_5_UK!K14&amp;", "&amp;Table_5_UK!K15&amp;", "&amp;Table_5_UK!K18&amp;", "&amp;Table_5_UK!K19&amp;", "&amp;Table_5_UK!K20&amp;", "&amp;Table_5_UK!K21&amp;", "&amp;Table_5_UK!K22&amp;", "&amp;Table_5_UK!K23&amp;", "&amp;Table_5_UK!K24&amp;", "&amp;Table_5_UK!K37&amp;", "&amp;Table_5_UK!K38&amp;", "&amp;Table_5_UK!K39&amp;", "&amp;Table_5_UK!K40&amp;", "&amp;Table_5_UK!K41&amp;", "&amp;Table_5_UK!K42&amp;", "&amp;Table_5_UK!K43&amp;", "&amp;Table_5_UK!K49&amp;", "&amp;Table_5_UK!K50&amp;", "&amp;Table_5_UK!K51&amp;", "&amp;Table_5_UK!K52&amp;", "&amp;Table_5_UK!K53&amp;", "&amp;Table_5_UK!K54&amp;", "&amp;Table_5_UK!K55&amp;", "&amp;Table_5_UK!K60&amp;", "&amp;Table_5_UK!K61&amp;", "&amp;Table_5_UK!K63&amp;", "&amp;Table_5_UK!K64</f>
        <v>13658, 0, 8536, 3776, 339, 7805, 717, 64874, 0, 0, 0, 0, 0, 0, 7652, 0, 8693, 3240, 5, 4212, 191, 112881, 0, 101061, 22903, 7156, 538, 245, 5922, 0, 0, 16179</v>
      </c>
      <c r="K101" s="207">
        <f t="shared" si="4"/>
        <v>0</v>
      </c>
      <c r="L101" s="207">
        <f t="shared" si="5"/>
        <v>0</v>
      </c>
    </row>
    <row r="102" spans="1:12" customFormat="1" ht="16.7" customHeight="1" x14ac:dyDescent="0.25">
      <c r="A102" s="170" t="s">
        <v>517</v>
      </c>
      <c r="B102" s="693" t="s">
        <v>518</v>
      </c>
      <c r="C102" s="693"/>
      <c r="D102" s="693"/>
      <c r="E102" s="188" t="str">
        <f>Table_5_UK!$A$1&amp;" Head "&amp;Table_5_UK!A70&amp;", "&amp;Table_5_UK!A71</f>
        <v>Table 5: Head 6a, 6b</v>
      </c>
      <c r="F102" s="188"/>
      <c r="G102" s="271" t="s">
        <v>366</v>
      </c>
      <c r="H102" s="276" t="str">
        <f>IF(AND($B$4&lt;&gt;"X",OR(Table_5_UK!K70=0),OR(Table_5_UK!K71=0)),"FAIL","PASS")</f>
        <v>PASS</v>
      </c>
      <c r="I102" s="272" t="str">
        <f>IF(AND($B$4&lt;&gt;"X",OR(Table_5_UK!K70=0),OR(Table_5_UK!K71=0)),"Head "&amp;Table_5_UK!A70&amp;", "&amp;Table_5_UK!A71&amp;" ("&amp;J102&amp;")","")</f>
        <v/>
      </c>
      <c r="J102" s="277" t="str">
        <f>Table_5_UK!K70&amp;", "&amp;Table_5_UK!K71</f>
        <v>1772, 7916</v>
      </c>
      <c r="K102" s="207">
        <f t="shared" si="4"/>
        <v>0</v>
      </c>
      <c r="L102" s="207">
        <f t="shared" si="5"/>
        <v>0</v>
      </c>
    </row>
    <row r="103" spans="1:12" customFormat="1" ht="15.4" customHeight="1" x14ac:dyDescent="0.25">
      <c r="A103" s="176" t="s">
        <v>519</v>
      </c>
      <c r="B103" s="693" t="s">
        <v>520</v>
      </c>
      <c r="C103" s="693"/>
      <c r="D103" s="693"/>
      <c r="E103" s="694" t="str">
        <f>Table_6_Wales!$A$1&amp;" Head "&amp;Table_6_Wales!A16</f>
        <v>Table 6_W: Head 2</v>
      </c>
      <c r="F103" s="694"/>
      <c r="G103" s="271" t="s">
        <v>361</v>
      </c>
      <c r="H103" s="276" t="str">
        <f>IF(OR(AND($B$4="W",Table_6_Wales!H16&gt;=0),AND(OR($B$4="S",$B$4="N",$B$4="X"),Table_6_Wales!H16=0)),"PASS","FAIL")</f>
        <v>PASS</v>
      </c>
      <c r="I103" s="272" t="str">
        <f>IF(OR(AND($B$4="W",Table_6_Wales!H16&gt;=0),AND(OR($B$4="S",$B$4="N",$B$4="X"),Table_6_Wales!H16=0)),"","Head "&amp;Table_6_Wales!A16&amp;" ("&amp;J103&amp;")")</f>
        <v/>
      </c>
      <c r="J103" s="279">
        <f>Table_6_Wales!H15</f>
        <v>0</v>
      </c>
      <c r="K103" s="207">
        <f t="shared" si="4"/>
        <v>0</v>
      </c>
      <c r="L103" s="207">
        <f t="shared" si="5"/>
        <v>0</v>
      </c>
    </row>
    <row r="104" spans="1:12" customFormat="1" ht="15.6" customHeight="1" x14ac:dyDescent="0.25">
      <c r="A104" s="176" t="s">
        <v>521</v>
      </c>
      <c r="B104" s="693" t="s">
        <v>522</v>
      </c>
      <c r="C104" s="693"/>
      <c r="D104" s="693"/>
      <c r="E104" s="694" t="str">
        <f>Table_6_Scotland!$A$1&amp;" Head "&amp;Table_6_Scotland!A13</f>
        <v>Table 6_S: Head 1h</v>
      </c>
      <c r="F104" s="694"/>
      <c r="G104" s="271" t="s">
        <v>361</v>
      </c>
      <c r="H104" s="276" t="str">
        <f>IF(OR(AND($B$4="S",Table_6_Scotland!H13&gt;=0),AND(OR($B$4="W",$B$4="N",$B$4="X"),Table_6_Scotland!H13=0)),"PASS","FAIL")</f>
        <v>PASS</v>
      </c>
      <c r="I104" s="272" t="str">
        <f>IF(OR(AND($B$4="S",Table_6_Scotland!H13&gt;=0),AND(OR($B$4="W",$B$4="N",$B$4="X"),Table_6_Scotland!H13=0)),"","Head "&amp;Table_6_Scotland!A13&amp;" ("&amp;J104&amp;")")</f>
        <v/>
      </c>
      <c r="J104" s="279">
        <f>Table_6_Scotland!H13</f>
        <v>190823</v>
      </c>
      <c r="K104" s="207">
        <f t="shared" si="4"/>
        <v>0</v>
      </c>
      <c r="L104" s="207">
        <f t="shared" si="5"/>
        <v>0</v>
      </c>
    </row>
    <row r="105" spans="1:12" customFormat="1" ht="15.6" customHeight="1" x14ac:dyDescent="0.25">
      <c r="A105" s="176" t="s">
        <v>523</v>
      </c>
      <c r="B105" s="693" t="s">
        <v>524</v>
      </c>
      <c r="C105" s="693"/>
      <c r="D105" s="693"/>
      <c r="E105" s="694" t="str">
        <f>Table_6_N_Ireland!$A$1&amp;" Head "&amp;Table_6_N_Ireland!A10</f>
        <v>Table 6_NI: Head 1e</v>
      </c>
      <c r="F105" s="694"/>
      <c r="G105" s="271" t="s">
        <v>361</v>
      </c>
      <c r="H105" s="276" t="str">
        <f>IF(OR(AND($B$4="N",Table_6_N_Ireland!H10&gt;=0),AND(OR($B$4="S",$B$4="W",$B$4="X"),Table_6_N_Ireland!H10=0)),"PASS","FAIL")</f>
        <v>PASS</v>
      </c>
      <c r="I105" s="272" t="str">
        <f>IF(OR(AND($B$4="N",Table_6_N_Ireland!H10&gt;=0),AND(OR($B$4="S",$B$4="W",$B$4="X"),Table_6_N_Ireland!H10=0)),"","Head "&amp;Table_6_N_Ireland!A10&amp;" ("&amp;J105&amp;")")</f>
        <v/>
      </c>
      <c r="J105" s="279">
        <f>Table_6_N_Ireland!H10</f>
        <v>0</v>
      </c>
      <c r="K105" s="207">
        <f t="shared" si="4"/>
        <v>0</v>
      </c>
      <c r="L105" s="207">
        <f t="shared" si="5"/>
        <v>0</v>
      </c>
    </row>
    <row r="106" spans="1:12" customFormat="1" ht="15.6" customHeight="1" x14ac:dyDescent="0.25">
      <c r="A106" s="170" t="s">
        <v>525</v>
      </c>
      <c r="B106" s="693" t="s">
        <v>526</v>
      </c>
      <c r="C106" s="693"/>
      <c r="D106" s="693"/>
      <c r="E106" s="694" t="str">
        <f>Table_7_UK!$A$1&amp;" Head "&amp;Table_7_UK!A6&amp;" ("&amp;Table_7_UK!J3&amp;")"&amp;", "&amp;Table_7_UK!$A$1&amp;" Head "&amp;Table_7_UK!A6&amp;" ("&amp;Table_7_UK!L3&amp;")"</f>
        <v>Table 7: Head 1a (Total staff costs), Table 7: Head 1a (Other operating expenses)</v>
      </c>
      <c r="F106" s="694"/>
      <c r="G106" s="270" t="s">
        <v>366</v>
      </c>
      <c r="H106" s="271" t="str">
        <f>IF(OR(Table_7_UK!J6=0,Table_7_UK!L6&gt;0),"PASS","FAIL")</f>
        <v>PASS</v>
      </c>
      <c r="I106" s="272" t="str">
        <f>IF(OR(Table_7_UK!J6=0,Table_7_UK!L6&gt;0),"","Head "&amp;Table_7_UK!A6&amp;" ("&amp;J106&amp;")")</f>
        <v/>
      </c>
      <c r="J106" s="273" t="str">
        <f>Table_7_UK!J6&amp;", "&amp;Table_7_UK!L6</f>
        <v>68885, 9918</v>
      </c>
      <c r="K106" s="207">
        <f t="shared" si="4"/>
        <v>0</v>
      </c>
      <c r="L106" s="207">
        <f t="shared" si="5"/>
        <v>0</v>
      </c>
    </row>
    <row r="107" spans="1:12" customFormat="1" ht="15.6" customHeight="1" x14ac:dyDescent="0.25">
      <c r="A107" s="170" t="s">
        <v>527</v>
      </c>
      <c r="B107" s="693" t="s">
        <v>528</v>
      </c>
      <c r="C107" s="693"/>
      <c r="D107" s="693"/>
      <c r="E107" s="694" t="str">
        <f>Table_7_UK!$A$1&amp;" Head "&amp;Table_7_UK!A7&amp;" ("&amp;Table_7_UK!J3&amp;")"&amp;", "&amp;Table_7_UK!$A$1&amp;" Head "&amp;Table_7_UK!A7&amp;" ("&amp;Table_7_UK!L3&amp;")"</f>
        <v>Table 7: Head 1b (Total staff costs), Table 7: Head 1b (Other operating expenses)</v>
      </c>
      <c r="F107" s="694"/>
      <c r="G107" s="270" t="s">
        <v>366</v>
      </c>
      <c r="H107" s="271" t="str">
        <f>IF(OR(Table_7_UK!J7=0,Table_7_UK!L7&gt;0),"PASS","FAIL")</f>
        <v>PASS</v>
      </c>
      <c r="I107" s="272" t="str">
        <f>IF(OR(Table_7_UK!J7=0,Table_7_UK!L7&gt;0),"","Head "&amp;Table_7_UK!A7&amp;" ("&amp;J107&amp;")")</f>
        <v/>
      </c>
      <c r="J107" s="273" t="str">
        <f>Table_7_UK!J7&amp;", "&amp;Table_7_UK!L7</f>
        <v>1768, 460</v>
      </c>
      <c r="K107" s="207">
        <f t="shared" si="4"/>
        <v>0</v>
      </c>
      <c r="L107" s="207">
        <f t="shared" si="5"/>
        <v>0</v>
      </c>
    </row>
    <row r="108" spans="1:12" customFormat="1" ht="15.6" customHeight="1" x14ac:dyDescent="0.25">
      <c r="A108" s="170" t="s">
        <v>529</v>
      </c>
      <c r="B108" s="693" t="s">
        <v>530</v>
      </c>
      <c r="C108" s="693"/>
      <c r="D108" s="693"/>
      <c r="E108" s="694" t="str">
        <f>Table_7_UK!$A$1&amp;" Head "&amp;Table_7_UK!A8&amp;" ("&amp;Table_7_UK!J3&amp;")"&amp;", "&amp;Table_7_UK!$A$1&amp;" Head "&amp;Table_7_UK!A8&amp;" ("&amp;Table_7_UK!L3&amp;")"</f>
        <v>Table 7: Head 1c (Total staff costs), Table 7: Head 1c (Other operating expenses)</v>
      </c>
      <c r="F108" s="694"/>
      <c r="G108" s="270" t="s">
        <v>366</v>
      </c>
      <c r="H108" s="271" t="str">
        <f>IF(OR(Table_7_UK!J8=0,Table_7_UK!L8&gt;0),"PASS","FAIL")</f>
        <v>PASS</v>
      </c>
      <c r="I108" s="272" t="str">
        <f>IF(OR(Table_7_UK!J8=0,Table_7_UK!L8&gt;0),"","Head "&amp;Table_7_UK!A8&amp;" ("&amp;J108&amp;")")</f>
        <v/>
      </c>
      <c r="J108" s="273" t="str">
        <f>Table_7_UK!J8&amp;", "&amp;Table_7_UK!L8</f>
        <v>1609, 472</v>
      </c>
      <c r="K108" s="207">
        <f t="shared" si="4"/>
        <v>0</v>
      </c>
      <c r="L108" s="207">
        <f t="shared" si="5"/>
        <v>0</v>
      </c>
    </row>
    <row r="109" spans="1:12" customFormat="1" ht="15.6" customHeight="1" x14ac:dyDescent="0.25">
      <c r="A109" s="170" t="s">
        <v>531</v>
      </c>
      <c r="B109" s="693" t="s">
        <v>532</v>
      </c>
      <c r="C109" s="693"/>
      <c r="D109" s="693"/>
      <c r="E109" s="694" t="str">
        <f>Table_7_UK!$A$1&amp;" Head "&amp;Table_7_UK!A9&amp;" ("&amp;Table_7_UK!J3&amp;")"&amp;", "&amp;Table_7_UK!$A$1&amp;" Head "&amp;Table_7_UK!A9&amp;" ("&amp;Table_7_UK!L3&amp;")"</f>
        <v>Table 7: Head 1d (Total staff costs), Table 7: Head 1d (Other operating expenses)</v>
      </c>
      <c r="F109" s="694"/>
      <c r="G109" s="270" t="s">
        <v>366</v>
      </c>
      <c r="H109" s="271" t="str">
        <f>IF(OR(Table_7_UK!J9=0,Table_7_UK!L9&gt;0),"PASS","FAIL")</f>
        <v>PASS</v>
      </c>
      <c r="I109" s="272" t="str">
        <f>IF(OR(Table_7_UK!J9=0,Table_7_UK!L9&gt;0),"","Head "&amp;Table_7_UK!A9&amp;" ("&amp;J109&amp;")")</f>
        <v/>
      </c>
      <c r="J109" s="273" t="str">
        <f>Table_7_UK!J9&amp;", "&amp;Table_7_UK!L9</f>
        <v>7927, 1805</v>
      </c>
      <c r="K109" s="207">
        <f t="shared" si="4"/>
        <v>0</v>
      </c>
      <c r="L109" s="207">
        <f t="shared" si="5"/>
        <v>0</v>
      </c>
    </row>
    <row r="110" spans="1:12" customFormat="1" ht="15.6" customHeight="1" x14ac:dyDescent="0.25">
      <c r="A110" s="170" t="s">
        <v>533</v>
      </c>
      <c r="B110" s="693" t="s">
        <v>534</v>
      </c>
      <c r="C110" s="693"/>
      <c r="D110" s="693"/>
      <c r="E110" s="694" t="str">
        <f>Table_7_UK!$A$1&amp;" Head "&amp;Table_7_UK!A10&amp;" ("&amp;Table_7_UK!J3&amp;")"&amp;", "&amp;Table_7_UK!$A$1&amp;" Head "&amp;Table_7_UK!A10&amp;" ("&amp;Table_7_UK!L3&amp;")"</f>
        <v>Table 7: Head 1e (Total staff costs), Table 7: Head 1e (Other operating expenses)</v>
      </c>
      <c r="F110" s="694"/>
      <c r="G110" s="270" t="s">
        <v>366</v>
      </c>
      <c r="H110" s="271" t="str">
        <f>IF(OR(Table_7_UK!J10=0,Table_7_UK!L10&gt;0),"PASS","FAIL")</f>
        <v>PASS</v>
      </c>
      <c r="I110" s="272" t="str">
        <f>IF(OR(Table_7_UK!J10=0,Table_7_UK!L10&gt;0),"","Head "&amp;Table_7_UK!A10&amp;" ("&amp;J110&amp;")")</f>
        <v/>
      </c>
      <c r="J110" s="273" t="str">
        <f>Table_7_UK!J10&amp;", "&amp;Table_7_UK!L10</f>
        <v>0, 0</v>
      </c>
      <c r="K110" s="207">
        <f t="shared" si="4"/>
        <v>0</v>
      </c>
      <c r="L110" s="207">
        <f t="shared" si="5"/>
        <v>0</v>
      </c>
    </row>
    <row r="111" spans="1:12" customFormat="1" ht="15.6" customHeight="1" x14ac:dyDescent="0.25">
      <c r="A111" s="170" t="s">
        <v>535</v>
      </c>
      <c r="B111" s="693" t="s">
        <v>536</v>
      </c>
      <c r="C111" s="693"/>
      <c r="D111" s="693"/>
      <c r="E111" s="694" t="str">
        <f>Table_7_UK!$A$1&amp;" Head "&amp;Table_7_UK!A11&amp;" ("&amp;Table_7_UK!J3&amp;")"&amp;", "&amp;Table_7_UK!$A$1&amp;" Head "&amp;Table_7_UK!A11&amp;" ("&amp;Table_7_UK!L3&amp;")"</f>
        <v>Table 7: Head 1f (Total staff costs), Table 7: Head 1f (Other operating expenses)</v>
      </c>
      <c r="F111" s="694"/>
      <c r="G111" s="270" t="s">
        <v>366</v>
      </c>
      <c r="H111" s="271" t="str">
        <f>IF(OR(Table_7_UK!J11=0,Table_7_UK!L11&gt;0),"PASS","FAIL")</f>
        <v>PASS</v>
      </c>
      <c r="I111" s="272" t="str">
        <f>IF(OR(Table_7_UK!J11=0,Table_7_UK!L11&gt;0),"","Head "&amp;Table_7_UK!A11&amp;" ("&amp;J111&amp;")")</f>
        <v/>
      </c>
      <c r="J111" s="273" t="str">
        <f>Table_7_UK!J11&amp;", "&amp;Table_7_UK!L11</f>
        <v>0, 0</v>
      </c>
      <c r="K111" s="207">
        <f t="shared" si="4"/>
        <v>0</v>
      </c>
      <c r="L111" s="207">
        <f t="shared" si="5"/>
        <v>0</v>
      </c>
    </row>
    <row r="112" spans="1:12" customFormat="1" ht="15.6" customHeight="1" x14ac:dyDescent="0.25">
      <c r="A112" s="170" t="s">
        <v>537</v>
      </c>
      <c r="B112" s="693" t="s">
        <v>538</v>
      </c>
      <c r="C112" s="693"/>
      <c r="D112" s="693"/>
      <c r="E112" s="694" t="str">
        <f>Table_7_UK!$A$1&amp;" Head "&amp;Table_7_UK!A12&amp;" ("&amp;Table_7_UK!J3&amp;")"&amp;", "&amp;Table_7_UK!$A$1&amp;" Head "&amp;Table_7_UK!A12&amp;" ("&amp;Table_7_UK!L3&amp;")"</f>
        <v>Table 7: Head 1g (Total staff costs), Table 7: Head 1g (Other operating expenses)</v>
      </c>
      <c r="F112" s="694"/>
      <c r="G112" s="270" t="s">
        <v>366</v>
      </c>
      <c r="H112" s="271" t="str">
        <f>IF(OR(Table_7_UK!J12=0,Table_7_UK!L12&gt;0),"PASS","FAIL")</f>
        <v>PASS</v>
      </c>
      <c r="I112" s="272" t="str">
        <f>IF(OR(Table_7_UK!J12=0,Table_7_UK!L12&gt;0),"","Head "&amp;Table_7_UK!A12&amp;" ("&amp;J112&amp;")")</f>
        <v/>
      </c>
      <c r="J112" s="273" t="str">
        <f>Table_7_UK!J12&amp;", "&amp;Table_7_UK!L12</f>
        <v>0, 0</v>
      </c>
      <c r="K112" s="207">
        <f t="shared" si="4"/>
        <v>0</v>
      </c>
      <c r="L112" s="207">
        <f t="shared" si="5"/>
        <v>0</v>
      </c>
    </row>
    <row r="113" spans="1:12" customFormat="1" ht="15.6" customHeight="1" x14ac:dyDescent="0.25">
      <c r="A113" s="170" t="s">
        <v>539</v>
      </c>
      <c r="B113" s="693" t="s">
        <v>540</v>
      </c>
      <c r="C113" s="693"/>
      <c r="D113" s="693"/>
      <c r="E113" s="694" t="str">
        <f>Table_7_UK!$A$1&amp;" Head "&amp;Table_7_UK!A13&amp;" ("&amp;Table_7_UK!J3&amp;")"&amp;", "&amp;Table_7_UK!$A$1&amp;" Head "&amp;Table_7_UK!A13&amp;" ("&amp;Table_7_UK!L3&amp;")"</f>
        <v>Table 7: Head 1h (Total staff costs), Table 7: Head 1h (Other operating expenses)</v>
      </c>
      <c r="F113" s="694"/>
      <c r="G113" s="270" t="s">
        <v>366</v>
      </c>
      <c r="H113" s="271" t="str">
        <f>IF(OR(Table_7_UK!J13=0,Table_7_UK!L13&gt;0),"PASS","FAIL")</f>
        <v>PASS</v>
      </c>
      <c r="I113" s="272" t="str">
        <f>IF(OR(Table_7_UK!J13=0,Table_7_UK!L13&gt;0),"","Head "&amp;Table_7_UK!A13&amp;" ("&amp;J113&amp;")")</f>
        <v/>
      </c>
      <c r="J113" s="273" t="str">
        <f>Table_7_UK!J13&amp;", "&amp;Table_7_UK!L13</f>
        <v>0, 0</v>
      </c>
      <c r="K113" s="207">
        <f t="shared" si="4"/>
        <v>0</v>
      </c>
      <c r="L113" s="207">
        <f t="shared" si="5"/>
        <v>0</v>
      </c>
    </row>
    <row r="114" spans="1:12" customFormat="1" ht="15.6" customHeight="1" x14ac:dyDescent="0.25">
      <c r="A114" s="170" t="s">
        <v>541</v>
      </c>
      <c r="B114" s="693" t="s">
        <v>542</v>
      </c>
      <c r="C114" s="693"/>
      <c r="D114" s="693"/>
      <c r="E114" s="694" t="str">
        <f>Table_7_UK!$A$1&amp;" Head "&amp;Table_7_UK!A14&amp;" ("&amp;Table_7_UK!J3&amp;")"&amp;", "&amp;Table_7_UK!$A$1&amp;" Head "&amp;Table_7_UK!A14&amp;" ("&amp;Table_7_UK!L3&amp;")"</f>
        <v>Table 7: Head 1i (Total staff costs), Table 7: Head 1i (Other operating expenses)</v>
      </c>
      <c r="F114" s="694"/>
      <c r="G114" s="270" t="s">
        <v>366</v>
      </c>
      <c r="H114" s="271" t="str">
        <f>IF(OR(Table_7_UK!J14=0,Table_7_UK!L14&gt;0),"PASS","FAIL")</f>
        <v>PASS</v>
      </c>
      <c r="I114" s="272" t="str">
        <f>IF(OR(Table_7_UK!J14=0,Table_7_UK!L14&gt;0),"","Head "&amp;Table_7_UK!A14&amp;" ("&amp;J114&amp;")")</f>
        <v/>
      </c>
      <c r="J114" s="273" t="str">
        <f>Table_7_UK!J14&amp;", "&amp;Table_7_UK!L14</f>
        <v>29181, 8824</v>
      </c>
      <c r="K114" s="207">
        <f t="shared" si="4"/>
        <v>0</v>
      </c>
      <c r="L114" s="207">
        <f t="shared" si="5"/>
        <v>0</v>
      </c>
    </row>
    <row r="115" spans="1:12" customFormat="1" ht="15.6" customHeight="1" x14ac:dyDescent="0.25">
      <c r="A115" s="170" t="s">
        <v>543</v>
      </c>
      <c r="B115" s="693" t="s">
        <v>544</v>
      </c>
      <c r="C115" s="693"/>
      <c r="D115" s="693"/>
      <c r="E115" s="694" t="str">
        <f>Table_7_UK!$A$1&amp;" Head "&amp;Table_7_UK!A15&amp;" ("&amp;Table_7_UK!J3&amp;")"&amp;", "&amp;Table_7_UK!$A$1&amp;" Head "&amp;Table_7_UK!A15&amp;" ("&amp;Table_7_UK!L3&amp;")"</f>
        <v>Table 7: Head 1j (Total staff costs), Table 7: Head 1j (Other operating expenses)</v>
      </c>
      <c r="F115" s="694"/>
      <c r="G115" s="270" t="s">
        <v>366</v>
      </c>
      <c r="H115" s="271" t="str">
        <f>IF(OR(Table_7_UK!J15=0,Table_7_UK!L15&gt;0),"PASS","FAIL")</f>
        <v>PASS</v>
      </c>
      <c r="I115" s="272" t="str">
        <f>IF(OR(Table_7_UK!J15=0,Table_7_UK!L15&gt;0),"","Head "&amp;Table_7_UK!A15&amp;" ("&amp;J115&amp;")")</f>
        <v/>
      </c>
      <c r="J115" s="273" t="str">
        <f>Table_7_UK!J15&amp;", "&amp;Table_7_UK!L15</f>
        <v>0, 0</v>
      </c>
      <c r="K115" s="207">
        <f t="shared" si="4"/>
        <v>0</v>
      </c>
      <c r="L115" s="207">
        <f t="shared" si="5"/>
        <v>0</v>
      </c>
    </row>
    <row r="116" spans="1:12" customFormat="1" ht="15.6" customHeight="1" x14ac:dyDescent="0.25">
      <c r="A116" s="170" t="s">
        <v>545</v>
      </c>
      <c r="B116" s="693" t="s">
        <v>546</v>
      </c>
      <c r="C116" s="693"/>
      <c r="D116" s="693"/>
      <c r="E116" s="694" t="str">
        <f>Table_7_UK!$A$1&amp;" Head "&amp;Table_7_UK!A16&amp;" ("&amp;Table_7_UK!J3&amp;")"&amp;", "&amp;Table_7_UK!$A$1&amp;" Head "&amp;Table_7_UK!A16&amp;" ("&amp;Table_7_UK!L3&amp;")"</f>
        <v>Table 7: Head 1k (Total staff costs), Table 7: Head 1k (Other operating expenses)</v>
      </c>
      <c r="F116" s="694"/>
      <c r="G116" s="270" t="s">
        <v>366</v>
      </c>
      <c r="H116" s="271" t="str">
        <f>IF(OR(Table_7_UK!J16=0,Table_7_UK!L16&gt;0),"PASS","FAIL")</f>
        <v>PASS</v>
      </c>
      <c r="I116" s="272" t="str">
        <f>IF(OR(Table_7_UK!J16=0,Table_7_UK!L16&gt;0),"","Head "&amp;Table_7_UK!A16&amp;" ("&amp;J116&amp;")")</f>
        <v/>
      </c>
      <c r="J116" s="273" t="str">
        <f>Table_7_UK!J16&amp;", "&amp;Table_7_UK!L16</f>
        <v>10944, 3492</v>
      </c>
      <c r="K116" s="207">
        <f t="shared" si="4"/>
        <v>0</v>
      </c>
      <c r="L116" s="207">
        <f t="shared" si="5"/>
        <v>0</v>
      </c>
    </row>
    <row r="117" spans="1:12" customFormat="1" ht="15.6" customHeight="1" x14ac:dyDescent="0.25">
      <c r="A117" s="170" t="s">
        <v>547</v>
      </c>
      <c r="B117" s="693" t="s">
        <v>548</v>
      </c>
      <c r="C117" s="693"/>
      <c r="D117" s="693"/>
      <c r="E117" s="694" t="str">
        <f>Table_7_UK!$A$1&amp;" Head "&amp;Table_7_UK!A17&amp;" ("&amp;Table_7_UK!J3&amp;")"&amp;", "&amp;Table_7_UK!$A$1&amp;" Head "&amp;Table_7_UK!A17&amp;" ("&amp;Table_7_UK!L3&amp;")"</f>
        <v>Table 7: Head 1l (Total staff costs), Table 7: Head 1l (Other operating expenses)</v>
      </c>
      <c r="F117" s="694"/>
      <c r="G117" s="270" t="s">
        <v>366</v>
      </c>
      <c r="H117" s="271" t="str">
        <f>IF(OR(Table_7_UK!J17=0,Table_7_UK!L17&gt;0),"PASS","FAIL")</f>
        <v>PASS</v>
      </c>
      <c r="I117" s="272" t="str">
        <f>IF(OR(Table_7_UK!J17=0,Table_7_UK!L17&gt;0),"","Head "&amp;Table_7_UK!A17&amp;" ("&amp;J117&amp;")")</f>
        <v/>
      </c>
      <c r="J117" s="273" t="str">
        <f>Table_7_UK!J17&amp;", "&amp;Table_7_UK!L17</f>
        <v>29781, 7518</v>
      </c>
      <c r="K117" s="207">
        <f t="shared" si="4"/>
        <v>0</v>
      </c>
      <c r="L117" s="207">
        <f t="shared" si="5"/>
        <v>0</v>
      </c>
    </row>
    <row r="118" spans="1:12" customFormat="1" ht="15.6" customHeight="1" x14ac:dyDescent="0.25">
      <c r="A118" s="170" t="s">
        <v>549</v>
      </c>
      <c r="B118" s="693" t="s">
        <v>550</v>
      </c>
      <c r="C118" s="693"/>
      <c r="D118" s="693"/>
      <c r="E118" s="694" t="str">
        <f>Table_7_UK!$A$1&amp;" Head "&amp;Table_7_UK!A18&amp;" ("&amp;Table_7_UK!J3&amp;")"&amp;", "&amp;Table_7_UK!$A$1&amp;" Head "&amp;Table_7_UK!A18&amp;" ("&amp;Table_7_UK!L3&amp;")"</f>
        <v>Table 7: Head 1m (Total staff costs), Table 7: Head 1m (Other operating expenses)</v>
      </c>
      <c r="F118" s="694"/>
      <c r="G118" s="270" t="s">
        <v>366</v>
      </c>
      <c r="H118" s="271" t="str">
        <f>IF(OR(Table_7_UK!J18=0,Table_7_UK!L18&gt;0),"PASS","FAIL")</f>
        <v>PASS</v>
      </c>
      <c r="I118" s="272" t="str">
        <f>IF(OR(Table_7_UK!J18=0,Table_7_UK!L18&gt;0),"","Head "&amp;Table_7_UK!A18&amp;" ("&amp;J118&amp;")")</f>
        <v/>
      </c>
      <c r="J118" s="273" t="str">
        <f>Table_7_UK!J18&amp;", "&amp;Table_7_UK!L18</f>
        <v>6770, 3660</v>
      </c>
      <c r="K118" s="207">
        <f t="shared" si="4"/>
        <v>0</v>
      </c>
      <c r="L118" s="207">
        <f t="shared" si="5"/>
        <v>0</v>
      </c>
    </row>
    <row r="119" spans="1:12" customFormat="1" ht="15.6" customHeight="1" x14ac:dyDescent="0.25">
      <c r="A119" s="170" t="s">
        <v>551</v>
      </c>
      <c r="B119" s="693" t="s">
        <v>552</v>
      </c>
      <c r="C119" s="693"/>
      <c r="D119" s="693"/>
      <c r="E119" s="694" t="str">
        <f>Table_7_UK!$A$1&amp;" Head "&amp;Table_7_UK!A19&amp;" ("&amp;Table_7_UK!J3&amp;")"&amp;", "&amp;Table_7_UK!$A$1&amp;" Head "&amp;Table_7_UK!A19&amp;" ("&amp;Table_7_UK!L3&amp;")"</f>
        <v>Table 7: Head 1n (Total staff costs), Table 7: Head 1n (Other operating expenses)</v>
      </c>
      <c r="F119" s="694"/>
      <c r="G119" s="270" t="s">
        <v>366</v>
      </c>
      <c r="H119" s="271" t="str">
        <f>IF(OR(Table_7_UK!J19=0,Table_7_UK!L19&gt;0),"PASS","FAIL")</f>
        <v>PASS</v>
      </c>
      <c r="I119" s="272" t="str">
        <f>IF(OR(Table_7_UK!J19=0,Table_7_UK!L19&gt;0),"","Head "&amp;Table_7_UK!A19&amp;" ("&amp;J119&amp;")")</f>
        <v/>
      </c>
      <c r="J119" s="273" t="str">
        <f>Table_7_UK!J19&amp;", "&amp;Table_7_UK!L19</f>
        <v>12593, 5341</v>
      </c>
      <c r="K119" s="207">
        <f t="shared" si="4"/>
        <v>0</v>
      </c>
      <c r="L119" s="207">
        <f t="shared" si="5"/>
        <v>0</v>
      </c>
    </row>
    <row r="120" spans="1:12" customFormat="1" ht="15.6" customHeight="1" x14ac:dyDescent="0.25">
      <c r="A120" s="170" t="s">
        <v>553</v>
      </c>
      <c r="B120" s="693" t="s">
        <v>554</v>
      </c>
      <c r="C120" s="693"/>
      <c r="D120" s="693"/>
      <c r="E120" s="694" t="str">
        <f>Table_7_UK!$A$1&amp;" Head "&amp;Table_7_UK!A20&amp;" ("&amp;Table_7_UK!J3&amp;")"&amp;", "&amp;Table_7_UK!$A$1&amp;" Head "&amp;Table_7_UK!A20&amp;" ("&amp;Table_7_UK!L3&amp;")"</f>
        <v>Table 7: Head 1o (Total staff costs), Table 7: Head 1o (Other operating expenses)</v>
      </c>
      <c r="F120" s="694"/>
      <c r="G120" s="270" t="s">
        <v>366</v>
      </c>
      <c r="H120" s="271" t="str">
        <f>IF(OR(Table_7_UK!J20=0,Table_7_UK!L20&gt;0),"PASS","FAIL")</f>
        <v>PASS</v>
      </c>
      <c r="I120" s="272" t="str">
        <f>IF(OR(Table_7_UK!J20=0,Table_7_UK!L20&gt;0),"","Head "&amp;Table_7_UK!A20&amp;" ("&amp;J120&amp;")")</f>
        <v/>
      </c>
      <c r="J120" s="273" t="str">
        <f>Table_7_UK!J20&amp;", "&amp;Table_7_UK!L20</f>
        <v>0, 12</v>
      </c>
      <c r="K120" s="207">
        <f t="shared" ref="K120:K151" si="6">IF(AND(G120="Error",H120="FAIL"),1,0)</f>
        <v>0</v>
      </c>
      <c r="L120" s="207">
        <f t="shared" ref="L120:L151" si="7">IF(AND(G120="Warning",H120="FAIL"),1,0)</f>
        <v>0</v>
      </c>
    </row>
    <row r="121" spans="1:12" customFormat="1" ht="15.6" customHeight="1" x14ac:dyDescent="0.25">
      <c r="A121" s="170" t="s">
        <v>555</v>
      </c>
      <c r="B121" s="693" t="s">
        <v>556</v>
      </c>
      <c r="C121" s="693"/>
      <c r="D121" s="693"/>
      <c r="E121" s="694" t="str">
        <f>Table_7_UK!$A$1&amp;" Head "&amp;Table_7_UK!A21&amp;" ("&amp;Table_7_UK!J3&amp;")"&amp;", "&amp;Table_7_UK!$A$1&amp;" Head "&amp;Table_7_UK!A21&amp;" ("&amp;Table_7_UK!L3&amp;")"</f>
        <v>Table 7: Head 1p (Total staff costs), Table 7: Head 1p (Other operating expenses)</v>
      </c>
      <c r="F121" s="694"/>
      <c r="G121" s="270" t="s">
        <v>366</v>
      </c>
      <c r="H121" s="271" t="str">
        <f>IF(OR(Table_7_UK!J21=0,Table_7_UK!L21&gt;0),"PASS","FAIL")</f>
        <v>PASS</v>
      </c>
      <c r="I121" s="272" t="str">
        <f>IF(OR(Table_7_UK!J21=0,Table_7_UK!L21&gt;0),"","Head "&amp;Table_7_UK!A21&amp;" ("&amp;J121&amp;")")</f>
        <v/>
      </c>
      <c r="J121" s="273" t="str">
        <f>Table_7_UK!J21&amp;", "&amp;Table_7_UK!L21</f>
        <v>2338, 1244</v>
      </c>
      <c r="K121" s="207">
        <f t="shared" si="6"/>
        <v>0</v>
      </c>
      <c r="L121" s="207">
        <f t="shared" si="7"/>
        <v>0</v>
      </c>
    </row>
    <row r="122" spans="1:12" customFormat="1" ht="15.6" customHeight="1" x14ac:dyDescent="0.25">
      <c r="A122" s="170" t="s">
        <v>557</v>
      </c>
      <c r="B122" s="693" t="s">
        <v>558</v>
      </c>
      <c r="C122" s="693"/>
      <c r="D122" s="693"/>
      <c r="E122" s="694" t="str">
        <f>Table_7_UK!$A$1&amp;" Head "&amp;Table_7_UK!A22&amp;" ("&amp;Table_7_UK!J3&amp;")"&amp;", "&amp;Table_7_UK!$A$1&amp;" Head "&amp;Table_7_UK!A22&amp;" ("&amp;Table_7_UK!L3&amp;")"</f>
        <v>Table 7: Head 1q (Total staff costs), Table 7: Head 1q (Other operating expenses)</v>
      </c>
      <c r="F122" s="694"/>
      <c r="G122" s="270" t="s">
        <v>366</v>
      </c>
      <c r="H122" s="271" t="str">
        <f>IF(OR(Table_7_UK!J22=0,Table_7_UK!L22&gt;0),"PASS","FAIL")</f>
        <v>PASS</v>
      </c>
      <c r="I122" s="272" t="str">
        <f>IF(OR(Table_7_UK!J22=0,Table_7_UK!L22&gt;0),"","Head "&amp;Table_7_UK!A22&amp;" ("&amp;J122&amp;")")</f>
        <v/>
      </c>
      <c r="J122" s="273" t="str">
        <f>Table_7_UK!J22&amp;", "&amp;Table_7_UK!L22</f>
        <v>0, 0</v>
      </c>
      <c r="K122" s="207">
        <f t="shared" si="6"/>
        <v>0</v>
      </c>
      <c r="L122" s="207">
        <f t="shared" si="7"/>
        <v>0</v>
      </c>
    </row>
    <row r="123" spans="1:12" customFormat="1" ht="15.6" customHeight="1" x14ac:dyDescent="0.25">
      <c r="A123" s="170" t="s">
        <v>559</v>
      </c>
      <c r="B123" s="693" t="s">
        <v>560</v>
      </c>
      <c r="C123" s="693"/>
      <c r="D123" s="693"/>
      <c r="E123" s="694" t="str">
        <f>Table_7_UK!$A$1&amp;" Head "&amp;Table_7_UK!A23&amp;" ("&amp;Table_7_UK!J3&amp;")"&amp;", "&amp;Table_7_UK!$A$1&amp;" Head "&amp;Table_7_UK!A23&amp;" ("&amp;Table_7_UK!L3&amp;")"</f>
        <v>Table 7: Head 1r (Total staff costs), Table 7: Head 1r (Other operating expenses)</v>
      </c>
      <c r="F123" s="694"/>
      <c r="G123" s="270" t="s">
        <v>366</v>
      </c>
      <c r="H123" s="271" t="str">
        <f>IF(OR(Table_7_UK!J23=0,Table_7_UK!L23&gt;0),"PASS","FAIL")</f>
        <v>PASS</v>
      </c>
      <c r="I123" s="272" t="str">
        <f>IF(OR(Table_7_UK!J23=0,Table_7_UK!L23&gt;0),"","Head "&amp;Table_7_UK!A23&amp;" ("&amp;J123&amp;")")</f>
        <v/>
      </c>
      <c r="J123" s="273" t="str">
        <f>Table_7_UK!J23&amp;", "&amp;Table_7_UK!L23</f>
        <v>4762, 2207</v>
      </c>
      <c r="K123" s="207">
        <f t="shared" si="6"/>
        <v>0</v>
      </c>
      <c r="L123" s="207">
        <f t="shared" si="7"/>
        <v>0</v>
      </c>
    </row>
    <row r="124" spans="1:12" customFormat="1" ht="30" customHeight="1" x14ac:dyDescent="0.25">
      <c r="A124" s="170" t="s">
        <v>561</v>
      </c>
      <c r="B124" s="693" t="s">
        <v>562</v>
      </c>
      <c r="C124" s="693"/>
      <c r="D124" s="693"/>
      <c r="E124" s="694" t="str">
        <f>Table_7_UK!$A$1&amp;" Head "&amp;Table_7_UK!A24&amp;" ("&amp;Table_7_UK!J3&amp;")"&amp;", "&amp;Table_7_UK!$A$1&amp;" Head "&amp;Table_7_UK!A24&amp;" ("&amp;Table_7_UK!L3&amp;")"</f>
        <v>Table 7: Head 1s (Total staff costs), Table 7: Head 1s (Other operating expenses)</v>
      </c>
      <c r="F124" s="694"/>
      <c r="G124" s="270" t="s">
        <v>366</v>
      </c>
      <c r="H124" s="271" t="str">
        <f>IF(OR(Table_7_UK!J24=0,Table_7_UK!L24&gt;0),"PASS","FAIL")</f>
        <v>PASS</v>
      </c>
      <c r="I124" s="272" t="str">
        <f>IF(OR(Table_7_UK!J24=0,Table_7_UK!L24&gt;0),"","Head "&amp;Table_7_UK!A24&amp;" ("&amp;J124&amp;")")</f>
        <v/>
      </c>
      <c r="J124" s="273" t="str">
        <f>Table_7_UK!J24&amp;", "&amp;Table_7_UK!L24</f>
        <v>4990, 2690</v>
      </c>
      <c r="K124" s="207">
        <f t="shared" si="6"/>
        <v>0</v>
      </c>
      <c r="L124" s="207">
        <f t="shared" si="7"/>
        <v>0</v>
      </c>
    </row>
    <row r="125" spans="1:12" customFormat="1" ht="15.6" customHeight="1" x14ac:dyDescent="0.25">
      <c r="A125" s="170" t="s">
        <v>563</v>
      </c>
      <c r="B125" s="693" t="s">
        <v>564</v>
      </c>
      <c r="C125" s="693"/>
      <c r="D125" s="693"/>
      <c r="E125" s="694" t="str">
        <f>Table_7_UK!$A$1&amp;" Head "&amp;Table_7_UK!A25&amp;" ("&amp;Table_7_UK!J3&amp;")"&amp;", "&amp;Table_7_UK!$A$1&amp;" Head "&amp;Table_7_UK!A25&amp;" ("&amp;Table_7_UK!L3&amp;")"</f>
        <v>Table 7: Head 1t (Total staff costs), Table 7: Head 1t (Other operating expenses)</v>
      </c>
      <c r="F125" s="694"/>
      <c r="G125" s="270" t="s">
        <v>366</v>
      </c>
      <c r="H125" s="271" t="str">
        <f>IF(OR(Table_7_UK!J25=0,Table_7_UK!L25&gt;0),"PASS","FAIL")</f>
        <v>PASS</v>
      </c>
      <c r="I125" s="272" t="str">
        <f>IF(OR(Table_7_UK!J25=0,Table_7_UK!L25&gt;0),"","Head "&amp;Table_7_UK!A25&amp;" ("&amp;J125&amp;")")</f>
        <v/>
      </c>
      <c r="J125" s="273" t="str">
        <f>Table_7_UK!J25&amp;", "&amp;Table_7_UK!L25</f>
        <v>3568, 800</v>
      </c>
      <c r="K125" s="207">
        <f t="shared" si="6"/>
        <v>0</v>
      </c>
      <c r="L125" s="207">
        <f t="shared" si="7"/>
        <v>0</v>
      </c>
    </row>
    <row r="126" spans="1:12" customFormat="1" ht="30.6" customHeight="1" x14ac:dyDescent="0.25">
      <c r="A126" s="170" t="s">
        <v>565</v>
      </c>
      <c r="B126" s="693" t="s">
        <v>566</v>
      </c>
      <c r="C126" s="693"/>
      <c r="D126" s="693"/>
      <c r="E126" s="694" t="str">
        <f>Table_7_UK!$A$1&amp;" Head "&amp;Table_7_UK!A26&amp;" ("&amp;Table_7_UK!J3&amp;")"&amp;", "&amp;Table_7_UK!$A$1&amp;" Head "&amp;Table_7_UK!A26&amp;" ("&amp;Table_7_UK!L3&amp;")"</f>
        <v>Table 7: Head 1u (Total staff costs), Table 7: Head 1u (Other operating expenses)</v>
      </c>
      <c r="F126" s="694"/>
      <c r="G126" s="270" t="s">
        <v>366</v>
      </c>
      <c r="H126" s="271" t="str">
        <f>IF(OR(Table_7_UK!J26=0,Table_7_UK!L26&gt;0),"PASS","FAIL")</f>
        <v>PASS</v>
      </c>
      <c r="I126" s="272" t="str">
        <f>IF(OR(Table_7_UK!J26=0,Table_7_UK!L26&gt;0),"","Head "&amp;Table_7_UK!A26&amp;" ("&amp;J126&amp;")")</f>
        <v/>
      </c>
      <c r="J126" s="273" t="str">
        <f>Table_7_UK!J26&amp;", "&amp;Table_7_UK!L26</f>
        <v>15941, 8346</v>
      </c>
      <c r="K126" s="207">
        <f t="shared" si="6"/>
        <v>0</v>
      </c>
      <c r="L126" s="207">
        <f t="shared" si="7"/>
        <v>0</v>
      </c>
    </row>
    <row r="127" spans="1:12" customFormat="1" ht="15.6" customHeight="1" x14ac:dyDescent="0.25">
      <c r="A127" s="170" t="s">
        <v>567</v>
      </c>
      <c r="B127" s="693" t="s">
        <v>568</v>
      </c>
      <c r="C127" s="693"/>
      <c r="D127" s="693"/>
      <c r="E127" s="694" t="str">
        <f>Table_7_UK!$A$1&amp;" Head "&amp;Table_7_UK!A27&amp;" ("&amp;Table_7_UK!J3&amp;")"&amp;", "&amp;Table_7_UK!$A$1&amp;" Head "&amp;Table_7_UK!A27&amp;" ("&amp;Table_7_UK!L3&amp;")"</f>
        <v>Table 7: Head 1v (Total staff costs), Table 7: Head 1v (Other operating expenses)</v>
      </c>
      <c r="F127" s="694"/>
      <c r="G127" s="270" t="s">
        <v>366</v>
      </c>
      <c r="H127" s="271" t="str">
        <f>IF(OR(Table_7_UK!J27=0,Table_7_UK!L27&gt;0),"PASS","FAIL")</f>
        <v>PASS</v>
      </c>
      <c r="I127" s="272" t="str">
        <f>IF(OR(Table_7_UK!J27=0,Table_7_UK!L27&gt;0),"","Head "&amp;Table_7_UK!A27&amp;" ("&amp;J127&amp;")")</f>
        <v/>
      </c>
      <c r="J127" s="273" t="str">
        <f>Table_7_UK!J27&amp;", "&amp;Table_7_UK!L27</f>
        <v>8950, 3946</v>
      </c>
      <c r="K127" s="207">
        <f t="shared" si="6"/>
        <v>0</v>
      </c>
      <c r="L127" s="207">
        <f t="shared" si="7"/>
        <v>0</v>
      </c>
    </row>
    <row r="128" spans="1:12" customFormat="1" ht="15.6" customHeight="1" x14ac:dyDescent="0.25">
      <c r="A128" s="170" t="s">
        <v>569</v>
      </c>
      <c r="B128" s="693" t="s">
        <v>570</v>
      </c>
      <c r="C128" s="693"/>
      <c r="D128" s="693"/>
      <c r="E128" s="694" t="str">
        <f>Table_7_UK!$A$1&amp;" Head "&amp;Table_7_UK!A28&amp;" ("&amp;Table_7_UK!J3&amp;")"&amp;", "&amp;Table_7_UK!$A$1&amp;" Head "&amp;Table_7_UK!A28&amp;" ("&amp;Table_7_UK!L3&amp;")"</f>
        <v>Table 7: Head 1w (Total staff costs), Table 7: Head 1w (Other operating expenses)</v>
      </c>
      <c r="F128" s="694"/>
      <c r="G128" s="270" t="s">
        <v>366</v>
      </c>
      <c r="H128" s="271" t="str">
        <f>IF(OR(Table_7_UK!J28=0,Table_7_UK!L28&gt;0),"PASS","FAIL")</f>
        <v>PASS</v>
      </c>
      <c r="I128" s="272" t="str">
        <f>IF(OR(Table_7_UK!J28=0,Table_7_UK!L28&gt;0),"","Head "&amp;Table_7_UK!A28&amp;" ("&amp;J128&amp;")")</f>
        <v/>
      </c>
      <c r="J128" s="273" t="str">
        <f>Table_7_UK!J28&amp;", "&amp;Table_7_UK!L28</f>
        <v>4614, 1361</v>
      </c>
      <c r="K128" s="207">
        <f t="shared" si="6"/>
        <v>0</v>
      </c>
      <c r="L128" s="207">
        <f t="shared" si="7"/>
        <v>0</v>
      </c>
    </row>
    <row r="129" spans="1:12" customFormat="1" ht="15.6" customHeight="1" x14ac:dyDescent="0.25">
      <c r="A129" s="170" t="s">
        <v>571</v>
      </c>
      <c r="B129" s="693" t="s">
        <v>572</v>
      </c>
      <c r="C129" s="693"/>
      <c r="D129" s="693"/>
      <c r="E129" s="694" t="str">
        <f>Table_7_UK!$A$1&amp;" Head "&amp;Table_7_UK!A29&amp;" ("&amp;Table_7_UK!J3&amp;")"&amp;", "&amp;Table_7_UK!$A$1&amp;" Head "&amp;Table_7_UK!A29&amp;" ("&amp;Table_7_UK!L3&amp;")"</f>
        <v>Table 7: Head 1x (Total staff costs), Table 7: Head 1x (Other operating expenses)</v>
      </c>
      <c r="F129" s="694"/>
      <c r="G129" s="270" t="s">
        <v>366</v>
      </c>
      <c r="H129" s="271" t="str">
        <f>IF(OR(Table_7_UK!J29=0,Table_7_UK!L29&gt;0),"PASS","FAIL")</f>
        <v>PASS</v>
      </c>
      <c r="I129" s="272" t="str">
        <f>IF(OR(Table_7_UK!J29=0,Table_7_UK!L29&gt;0),"","Head "&amp;Table_7_UK!A29&amp;" ("&amp;J129&amp;")")</f>
        <v/>
      </c>
      <c r="J129" s="273" t="str">
        <f>Table_7_UK!J29&amp;", "&amp;Table_7_UK!L29</f>
        <v>2646, 504</v>
      </c>
      <c r="K129" s="207">
        <f t="shared" si="6"/>
        <v>0</v>
      </c>
      <c r="L129" s="207">
        <f t="shared" si="7"/>
        <v>0</v>
      </c>
    </row>
    <row r="130" spans="1:12" customFormat="1" ht="15.6" customHeight="1" x14ac:dyDescent="0.25">
      <c r="A130" s="170" t="s">
        <v>573</v>
      </c>
      <c r="B130" s="693" t="s">
        <v>574</v>
      </c>
      <c r="C130" s="693"/>
      <c r="D130" s="693"/>
      <c r="E130" s="694" t="str">
        <f>Table_7_UK!$A$1&amp;" Head "&amp;Table_7_UK!A30&amp;" ("&amp;Table_7_UK!J3&amp;")"&amp;", "&amp;Table_7_UK!$A$1&amp;" Head "&amp;Table_7_UK!A30&amp;" ("&amp;Table_7_UK!L3&amp;")"</f>
        <v>Table 7: Head 1y (Total staff costs), Table 7: Head 1y (Other operating expenses)</v>
      </c>
      <c r="F130" s="694"/>
      <c r="G130" s="270" t="s">
        <v>366</v>
      </c>
      <c r="H130" s="271" t="str">
        <f>IF(OR(Table_7_UK!J30=0,Table_7_UK!L30&gt;0),"PASS","FAIL")</f>
        <v>PASS</v>
      </c>
      <c r="I130" s="272" t="str">
        <f>IF(OR(Table_7_UK!J30=0,Table_7_UK!L30&gt;0),"","Head "&amp;Table_7_UK!A30&amp;" ("&amp;J130&amp;")")</f>
        <v/>
      </c>
      <c r="J130" s="273" t="str">
        <f>Table_7_UK!J30&amp;", "&amp;Table_7_UK!L30</f>
        <v>4725, 614</v>
      </c>
      <c r="K130" s="207">
        <f t="shared" si="6"/>
        <v>0</v>
      </c>
      <c r="L130" s="207">
        <f t="shared" si="7"/>
        <v>0</v>
      </c>
    </row>
    <row r="131" spans="1:12" customFormat="1" ht="15.6" customHeight="1" x14ac:dyDescent="0.25">
      <c r="A131" s="170" t="s">
        <v>575</v>
      </c>
      <c r="B131" s="693" t="s">
        <v>576</v>
      </c>
      <c r="C131" s="693"/>
      <c r="D131" s="693"/>
      <c r="E131" s="694" t="str">
        <f>Table_7_UK!$A$1&amp;" Head "&amp;Table_7_UK!A31&amp;" ("&amp;Table_7_UK!J3&amp;")"&amp;", "&amp;Table_7_UK!$A$1&amp;" Head "&amp;Table_7_UK!A31&amp;" ("&amp;Table_7_UK!L3&amp;")"</f>
        <v>Table 7: Head 1z (Total staff costs), Table 7: Head 1z (Other operating expenses)</v>
      </c>
      <c r="F131" s="694"/>
      <c r="G131" s="270" t="s">
        <v>366</v>
      </c>
      <c r="H131" s="271" t="str">
        <f>IF(OR(Table_7_UK!J31=0,Table_7_UK!L31&gt;0),"PASS","FAIL")</f>
        <v>PASS</v>
      </c>
      <c r="I131" s="272" t="str">
        <f>IF(OR(Table_7_UK!J31=0,Table_7_UK!L31&gt;0),"","Head "&amp;Table_7_UK!A31&amp;" ("&amp;J131&amp;")")</f>
        <v/>
      </c>
      <c r="J131" s="273" t="str">
        <f>Table_7_UK!J31&amp;", "&amp;Table_7_UK!L31</f>
        <v>1150, 159</v>
      </c>
      <c r="K131" s="207">
        <f t="shared" si="6"/>
        <v>0</v>
      </c>
      <c r="L131" s="207">
        <f t="shared" si="7"/>
        <v>0</v>
      </c>
    </row>
    <row r="132" spans="1:12" customFormat="1" ht="15.6" customHeight="1" x14ac:dyDescent="0.25">
      <c r="A132" s="170" t="s">
        <v>577</v>
      </c>
      <c r="B132" s="693" t="s">
        <v>578</v>
      </c>
      <c r="C132" s="693"/>
      <c r="D132" s="693"/>
      <c r="E132" s="694" t="str">
        <f>Table_7_UK!$A$1&amp;" Head "&amp;Table_7_UK!A32&amp;" ("&amp;Table_7_UK!J3&amp;")"&amp;", "&amp;Table_7_UK!$A$1&amp;" Head "&amp;Table_7_UK!A32&amp;" ("&amp;Table_7_UK!L3&amp;")"</f>
        <v>Table 7: Head 1aa (Total staff costs), Table 7: Head 1aa (Other operating expenses)</v>
      </c>
      <c r="F132" s="694"/>
      <c r="G132" s="270" t="s">
        <v>366</v>
      </c>
      <c r="H132" s="271" t="str">
        <f>IF(OR(Table_7_UK!J32=0,Table_7_UK!L32&gt;0),"PASS","FAIL")</f>
        <v>PASS</v>
      </c>
      <c r="I132" s="272" t="str">
        <f>IF(OR(Table_7_UK!J32=0,Table_7_UK!L32&gt;0),"","Head "&amp;Table_7_UK!A32&amp;" ("&amp;J132&amp;")")</f>
        <v/>
      </c>
      <c r="J132" s="273" t="str">
        <f>Table_7_UK!J32&amp;", "&amp;Table_7_UK!L32</f>
        <v>3503, 484</v>
      </c>
      <c r="K132" s="207">
        <f t="shared" si="6"/>
        <v>0</v>
      </c>
      <c r="L132" s="207">
        <f t="shared" si="7"/>
        <v>0</v>
      </c>
    </row>
    <row r="133" spans="1:12" customFormat="1" ht="15.6" customHeight="1" x14ac:dyDescent="0.25">
      <c r="A133" s="170" t="s">
        <v>579</v>
      </c>
      <c r="B133" s="693" t="s">
        <v>580</v>
      </c>
      <c r="C133" s="693"/>
      <c r="D133" s="693"/>
      <c r="E133" s="694" t="str">
        <f>Table_7_UK!$A$1&amp;" Head "&amp;Table_7_UK!A33&amp;" ("&amp;Table_7_UK!J3&amp;")"&amp;", "&amp;Table_7_UK!$A$1&amp;" Head "&amp;Table_7_UK!A33&amp;" ("&amp;Table_7_UK!L3&amp;")"</f>
        <v>Table 7: Head 1ab (Total staff costs), Table 7: Head 1ab (Other operating expenses)</v>
      </c>
      <c r="F133" s="694"/>
      <c r="G133" s="270" t="s">
        <v>366</v>
      </c>
      <c r="H133" s="271" t="str">
        <f>IF(OR(Table_7_UK!J33=0,Table_7_UK!L33&gt;0),"PASS","FAIL")</f>
        <v>PASS</v>
      </c>
      <c r="I133" s="272" t="str">
        <f>IF(OR(Table_7_UK!J33=0,Table_7_UK!L33&gt;0),"","Head "&amp;Table_7_UK!A33&amp;" ("&amp;J133&amp;")")</f>
        <v/>
      </c>
      <c r="J133" s="273" t="str">
        <f>Table_7_UK!J33&amp;", "&amp;Table_7_UK!L33</f>
        <v>5922, 1181</v>
      </c>
      <c r="K133" s="207">
        <f t="shared" si="6"/>
        <v>0</v>
      </c>
      <c r="L133" s="207">
        <f t="shared" si="7"/>
        <v>0</v>
      </c>
    </row>
    <row r="134" spans="1:12" customFormat="1" ht="15.6" customHeight="1" x14ac:dyDescent="0.25">
      <c r="A134" s="170" t="s">
        <v>581</v>
      </c>
      <c r="B134" s="693" t="s">
        <v>582</v>
      </c>
      <c r="C134" s="693"/>
      <c r="D134" s="693"/>
      <c r="E134" s="694" t="str">
        <f>Table_7_UK!$A$1&amp;" Head "&amp;Table_7_UK!A34&amp;" ("&amp;Table_7_UK!J3&amp;")"&amp;", "&amp;Table_7_UK!$A$1&amp;" Head "&amp;Table_7_UK!A34&amp;" ("&amp;Table_7_UK!L3&amp;")"</f>
        <v>Table 7: Head 1ac (Total staff costs), Table 7: Head 1ac (Other operating expenses)</v>
      </c>
      <c r="F134" s="694"/>
      <c r="G134" s="270" t="s">
        <v>366</v>
      </c>
      <c r="H134" s="271" t="str">
        <f>IF(OR(Table_7_UK!J34=0,Table_7_UK!L34&gt;0),"PASS","FAIL")</f>
        <v>PASS</v>
      </c>
      <c r="I134" s="272" t="str">
        <f>IF(OR(Table_7_UK!J34=0,Table_7_UK!L34&gt;0),"","Head "&amp;Table_7_UK!A34&amp;" ("&amp;J134&amp;")")</f>
        <v/>
      </c>
      <c r="J134" s="273" t="str">
        <f>Table_7_UK!J34&amp;", "&amp;Table_7_UK!L34</f>
        <v>4292, 2188</v>
      </c>
      <c r="K134" s="207">
        <f t="shared" si="6"/>
        <v>0</v>
      </c>
      <c r="L134" s="207">
        <f t="shared" si="7"/>
        <v>0</v>
      </c>
    </row>
    <row r="135" spans="1:12" customFormat="1" ht="15.6" customHeight="1" x14ac:dyDescent="0.25">
      <c r="A135" s="170" t="s">
        <v>583</v>
      </c>
      <c r="B135" s="693" t="s">
        <v>584</v>
      </c>
      <c r="C135" s="693"/>
      <c r="D135" s="693"/>
      <c r="E135" s="694" t="str">
        <f>Table_7_UK!$A$1&amp;" Head "&amp;Table_7_UK!A35&amp;" ("&amp;Table_7_UK!J3&amp;")"&amp;", "&amp;Table_7_UK!$A$1&amp;" Head "&amp;Table_7_UK!A35&amp;" ("&amp;Table_7_UK!L3&amp;")"</f>
        <v>Table 7: Head 1ad (Total staff costs), Table 7: Head 1ad (Other operating expenses)</v>
      </c>
      <c r="F135" s="694"/>
      <c r="G135" s="270" t="s">
        <v>366</v>
      </c>
      <c r="H135" s="271" t="str">
        <f>IF(OR(Table_7_UK!J35=0,Table_7_UK!L35&gt;0),"PASS","FAIL")</f>
        <v>PASS</v>
      </c>
      <c r="I135" s="272" t="str">
        <f>IF(OR(Table_7_UK!J35=0,Table_7_UK!L35&gt;0),"","Head "&amp;Table_7_UK!A35&amp;" ("&amp;J135&amp;")")</f>
        <v/>
      </c>
      <c r="J135" s="273" t="str">
        <f>Table_7_UK!J35&amp;", "&amp;Table_7_UK!L35</f>
        <v>9792, 1558</v>
      </c>
      <c r="K135" s="207">
        <f t="shared" si="6"/>
        <v>0</v>
      </c>
      <c r="L135" s="207">
        <f t="shared" si="7"/>
        <v>0</v>
      </c>
    </row>
    <row r="136" spans="1:12" customFormat="1" ht="15.6" customHeight="1" x14ac:dyDescent="0.25">
      <c r="A136" s="170" t="s">
        <v>585</v>
      </c>
      <c r="B136" s="693" t="s">
        <v>586</v>
      </c>
      <c r="C136" s="693"/>
      <c r="D136" s="693"/>
      <c r="E136" s="694" t="str">
        <f>Table_7_UK!$A$1&amp;" Head "&amp;Table_7_UK!A36&amp;" ("&amp;Table_7_UK!J3&amp;")"&amp;", "&amp;Table_7_UK!$A$1&amp;" Head "&amp;Table_7_UK!A36&amp;" ("&amp;Table_7_UK!L3&amp;")"</f>
        <v>Table 7: Head 1ae (Total staff costs), Table 7: Head 1ae (Other operating expenses)</v>
      </c>
      <c r="F136" s="694"/>
      <c r="G136" s="270" t="s">
        <v>366</v>
      </c>
      <c r="H136" s="271" t="str">
        <f>IF(OR(Table_7_UK!J36=0,Table_7_UK!L36&gt;0),"PASS","FAIL")</f>
        <v>PASS</v>
      </c>
      <c r="I136" s="272" t="str">
        <f>IF(OR(Table_7_UK!J36=0,Table_7_UK!L36&gt;0),"","Head "&amp;Table_7_UK!A36&amp;" ("&amp;J136&amp;")")</f>
        <v/>
      </c>
      <c r="J136" s="273" t="str">
        <f>Table_7_UK!J36&amp;", "&amp;Table_7_UK!L36</f>
        <v>4125, 736</v>
      </c>
      <c r="K136" s="207">
        <f t="shared" si="6"/>
        <v>0</v>
      </c>
      <c r="L136" s="207">
        <f t="shared" si="7"/>
        <v>0</v>
      </c>
    </row>
    <row r="137" spans="1:12" customFormat="1" ht="15.6" customHeight="1" x14ac:dyDescent="0.25">
      <c r="A137" s="170" t="s">
        <v>587</v>
      </c>
      <c r="B137" s="693" t="s">
        <v>588</v>
      </c>
      <c r="C137" s="693"/>
      <c r="D137" s="693"/>
      <c r="E137" s="694" t="str">
        <f>Table_7_UK!$A$1&amp;" Head "&amp;Table_7_UK!A37&amp;" ("&amp;Table_7_UK!J3&amp;")"&amp;", "&amp;Table_7_UK!$A$1&amp;" Head "&amp;Table_7_UK!A37&amp;" ("&amp;Table_7_UK!L3&amp;")"</f>
        <v>Table 7: Head 1af (Total staff costs), Table 7: Head 1af (Other operating expenses)</v>
      </c>
      <c r="F137" s="694"/>
      <c r="G137" s="270" t="s">
        <v>366</v>
      </c>
      <c r="H137" s="271" t="str">
        <f>IF(OR(Table_7_UK!J37=0,Table_7_UK!L37&gt;0),"PASS","FAIL")</f>
        <v>PASS</v>
      </c>
      <c r="I137" s="272" t="str">
        <f>IF(OR(Table_7_UK!J37=0,Table_7_UK!L37&gt;0),"","Head "&amp;Table_7_UK!A37&amp;" ("&amp;J137&amp;")")</f>
        <v/>
      </c>
      <c r="J137" s="273" t="str">
        <f>Table_7_UK!J37&amp;", "&amp;Table_7_UK!L37</f>
        <v>6516, 738</v>
      </c>
      <c r="K137" s="207">
        <f t="shared" si="6"/>
        <v>0</v>
      </c>
      <c r="L137" s="207">
        <f t="shared" si="7"/>
        <v>0</v>
      </c>
    </row>
    <row r="138" spans="1:12" customFormat="1" ht="15.6" customHeight="1" x14ac:dyDescent="0.25">
      <c r="A138" s="170" t="s">
        <v>589</v>
      </c>
      <c r="B138" s="693" t="s">
        <v>590</v>
      </c>
      <c r="C138" s="693"/>
      <c r="D138" s="693"/>
      <c r="E138" s="694" t="str">
        <f>Table_7_UK!$A$1&amp;" Head "&amp;Table_7_UK!A38&amp;" ("&amp;Table_7_UK!J3&amp;")"&amp;", "&amp;Table_7_UK!$A$1&amp;" Head "&amp;Table_7_UK!A38&amp;" ("&amp;Table_7_UK!L3&amp;")"</f>
        <v>Table 7: Head 1ag (Total staff costs), Table 7: Head 1ag (Other operating expenses)</v>
      </c>
      <c r="F138" s="694"/>
      <c r="G138" s="270" t="s">
        <v>366</v>
      </c>
      <c r="H138" s="271" t="str">
        <f>IF(OR(Table_7_UK!J38=0,Table_7_UK!L38&gt;0),"PASS","FAIL")</f>
        <v>PASS</v>
      </c>
      <c r="I138" s="272" t="str">
        <f>IF(OR(Table_7_UK!J38=0,Table_7_UK!L38&gt;0),"","Head "&amp;Table_7_UK!A38&amp;" ("&amp;J138&amp;")")</f>
        <v/>
      </c>
      <c r="J138" s="273" t="str">
        <f>Table_7_UK!J38&amp;", "&amp;Table_7_UK!L38</f>
        <v>16879, 5425</v>
      </c>
      <c r="K138" s="207">
        <f t="shared" si="6"/>
        <v>0</v>
      </c>
      <c r="L138" s="207">
        <f t="shared" si="7"/>
        <v>0</v>
      </c>
    </row>
    <row r="139" spans="1:12" customFormat="1" ht="15.6" customHeight="1" x14ac:dyDescent="0.25">
      <c r="A139" s="170" t="s">
        <v>591</v>
      </c>
      <c r="B139" s="693" t="s">
        <v>592</v>
      </c>
      <c r="C139" s="693"/>
      <c r="D139" s="693"/>
      <c r="E139" s="694" t="str">
        <f>Table_7_UK!$A$1&amp;" Head "&amp;Table_7_UK!A39&amp;" ("&amp;Table_7_UK!J3&amp;")"&amp;", "&amp;Table_7_UK!$A$1&amp;" Head "&amp;Table_7_UK!A39&amp;" ("&amp;Table_7_UK!L3&amp;")"</f>
        <v>Table 7: Head 1ah (Total staff costs), Table 7: Head 1ah (Other operating expenses)</v>
      </c>
      <c r="F139" s="694"/>
      <c r="G139" s="270" t="s">
        <v>366</v>
      </c>
      <c r="H139" s="271" t="str">
        <f>IF(OR(Table_7_UK!J39=0,Table_7_UK!L39&gt;0),"PASS","FAIL")</f>
        <v>PASS</v>
      </c>
      <c r="I139" s="272" t="str">
        <f>IF(OR(Table_7_UK!J39=0,Table_7_UK!L39&gt;0),"","Head "&amp;Table_7_UK!A39&amp;" ("&amp;J139&amp;")")</f>
        <v/>
      </c>
      <c r="J139" s="273" t="str">
        <f>Table_7_UK!J39&amp;", "&amp;Table_7_UK!L39</f>
        <v>0, 0</v>
      </c>
      <c r="K139" s="207">
        <f t="shared" si="6"/>
        <v>0</v>
      </c>
      <c r="L139" s="207">
        <f t="shared" si="7"/>
        <v>0</v>
      </c>
    </row>
    <row r="140" spans="1:12" customFormat="1" ht="15.6" customHeight="1" x14ac:dyDescent="0.25">
      <c r="A140" s="170" t="s">
        <v>593</v>
      </c>
      <c r="B140" s="693" t="s">
        <v>594</v>
      </c>
      <c r="C140" s="693"/>
      <c r="D140" s="693"/>
      <c r="E140" s="694" t="str">
        <f>Table_7_UK!$A$1&amp;" Head "&amp;Table_7_UK!A40&amp;" ("&amp;Table_7_UK!J3&amp;")"&amp;", "&amp;Table_7_UK!$A$1&amp;" Head "&amp;Table_7_UK!A40&amp;" ("&amp;Table_7_UK!L3&amp;")"</f>
        <v>Table 7: Head 1ai (Total staff costs), Table 7: Head 1ai (Other operating expenses)</v>
      </c>
      <c r="F140" s="694"/>
      <c r="G140" s="270" t="s">
        <v>366</v>
      </c>
      <c r="H140" s="271" t="str">
        <f>IF(OR(Table_7_UK!J40=0,Table_7_UK!L40&gt;0),"PASS","FAIL")</f>
        <v>PASS</v>
      </c>
      <c r="I140" s="272" t="str">
        <f>IF(OR(Table_7_UK!J40=0,Table_7_UK!L40&gt;0),"","Head "&amp;Table_7_UK!A40&amp;" ("&amp;J140&amp;")")</f>
        <v/>
      </c>
      <c r="J140" s="273" t="str">
        <f>Table_7_UK!J40&amp;", "&amp;Table_7_UK!L40</f>
        <v>15981, 3332</v>
      </c>
      <c r="K140" s="207">
        <f t="shared" si="6"/>
        <v>0</v>
      </c>
      <c r="L140" s="207">
        <f t="shared" si="7"/>
        <v>0</v>
      </c>
    </row>
    <row r="141" spans="1:12" customFormat="1" ht="15.6" customHeight="1" x14ac:dyDescent="0.25">
      <c r="A141" s="170" t="s">
        <v>595</v>
      </c>
      <c r="B141" s="693" t="s">
        <v>596</v>
      </c>
      <c r="C141" s="693"/>
      <c r="D141" s="693"/>
      <c r="E141" s="694" t="str">
        <f>Table_7_UK!$A$1&amp;" Head "&amp;Table_7_UK!A41&amp;" ("&amp;Table_7_UK!J3&amp;")"&amp;", "&amp;Table_7_UK!$A$1&amp;" Head "&amp;Table_7_UK!A41&amp;" ("&amp;Table_7_UK!L3&amp;")"</f>
        <v>Table 7: Head 1aj (Total staff costs), Table 7: Head 1aj (Other operating expenses)</v>
      </c>
      <c r="F141" s="694"/>
      <c r="G141" s="270" t="s">
        <v>366</v>
      </c>
      <c r="H141" s="271" t="str">
        <f>IF(OR(Table_7_UK!J41=0,Table_7_UK!L41&gt;0),"PASS","FAIL")</f>
        <v>PASS</v>
      </c>
      <c r="I141" s="272" t="str">
        <f>IF(OR(Table_7_UK!J41=0,Table_7_UK!L41&gt;0),"","Head "&amp;Table_7_UK!A41&amp;" ("&amp;J141&amp;")")</f>
        <v/>
      </c>
      <c r="J141" s="273" t="str">
        <f>Table_7_UK!J41&amp;", "&amp;Table_7_UK!L41</f>
        <v>4995, 1212</v>
      </c>
      <c r="K141" s="207">
        <f t="shared" si="6"/>
        <v>0</v>
      </c>
      <c r="L141" s="207">
        <f t="shared" si="7"/>
        <v>0</v>
      </c>
    </row>
    <row r="142" spans="1:12" customFormat="1" ht="15.6" customHeight="1" x14ac:dyDescent="0.25">
      <c r="A142" s="170" t="s">
        <v>597</v>
      </c>
      <c r="B142" s="693" t="s">
        <v>598</v>
      </c>
      <c r="C142" s="693"/>
      <c r="D142" s="693"/>
      <c r="E142" s="694" t="str">
        <f>Table_7_UK!$A$1&amp;" Head "&amp;Table_7_UK!A42&amp;" ("&amp;Table_7_UK!J3&amp;")"&amp;", "&amp;Table_7_UK!$A$1&amp;" Head "&amp;Table_7_UK!A42&amp;" ("&amp;Table_7_UK!L3&amp;")"</f>
        <v>Table 7: Head 1ak (Total staff costs), Table 7: Head 1ak (Other operating expenses)</v>
      </c>
      <c r="F142" s="694"/>
      <c r="G142" s="270" t="s">
        <v>366</v>
      </c>
      <c r="H142" s="271" t="str">
        <f>IF(OR(Table_7_UK!J42=0,Table_7_UK!L42&gt;0),"PASS","FAIL")</f>
        <v>PASS</v>
      </c>
      <c r="I142" s="272" t="str">
        <f>IF(OR(Table_7_UK!J42=0,Table_7_UK!L42&gt;0),"","Head "&amp;Table_7_UK!A42&amp;" ("&amp;J142&amp;")")</f>
        <v/>
      </c>
      <c r="J142" s="273" t="str">
        <f>Table_7_UK!J42&amp;", "&amp;Table_7_UK!L42</f>
        <v>11065, 1812</v>
      </c>
      <c r="K142" s="207">
        <f t="shared" si="6"/>
        <v>0</v>
      </c>
      <c r="L142" s="207">
        <f t="shared" si="7"/>
        <v>0</v>
      </c>
    </row>
    <row r="143" spans="1:12" customFormat="1" ht="15.6" customHeight="1" x14ac:dyDescent="0.25">
      <c r="A143" s="170" t="s">
        <v>599</v>
      </c>
      <c r="B143" s="693" t="s">
        <v>600</v>
      </c>
      <c r="C143" s="693"/>
      <c r="D143" s="693"/>
      <c r="E143" s="694" t="str">
        <f>Table_7_UK!$A$1&amp;" Head "&amp;Table_7_UK!A43&amp;" ("&amp;Table_7_UK!J3&amp;")"&amp;", "&amp;Table_7_UK!$A$1&amp;" Head "&amp;Table_7_UK!A43&amp;" ("&amp;Table_7_UK!L3&amp;")"</f>
        <v>Table 7: Head 1al (Total staff costs), Table 7: Head 1al (Other operating expenses)</v>
      </c>
      <c r="F143" s="694"/>
      <c r="G143" s="270" t="s">
        <v>366</v>
      </c>
      <c r="H143" s="271" t="str">
        <f>IF(OR(Table_7_UK!J43=0,Table_7_UK!L43&gt;0),"PASS","FAIL")</f>
        <v>PASS</v>
      </c>
      <c r="I143" s="272" t="str">
        <f>IF(OR(Table_7_UK!J43=0,Table_7_UK!L43&gt;0),"","Head "&amp;Table_7_UK!A43&amp;" ("&amp;J143&amp;")")</f>
        <v/>
      </c>
      <c r="J143" s="273" t="str">
        <f>Table_7_UK!J43&amp;", "&amp;Table_7_UK!L43</f>
        <v>4625, 277</v>
      </c>
      <c r="K143" s="207">
        <f t="shared" si="6"/>
        <v>0</v>
      </c>
      <c r="L143" s="207">
        <f t="shared" si="7"/>
        <v>0</v>
      </c>
    </row>
    <row r="144" spans="1:12" customFormat="1" ht="15.6" customHeight="1" x14ac:dyDescent="0.25">
      <c r="A144" s="170" t="s">
        <v>601</v>
      </c>
      <c r="B144" s="693" t="s">
        <v>602</v>
      </c>
      <c r="C144" s="693"/>
      <c r="D144" s="693"/>
      <c r="E144" s="694" t="str">
        <f>Table_7_UK!$A$1&amp;" Head "&amp;Table_7_UK!A44&amp;" ("&amp;Table_7_UK!J3&amp;")"&amp;", "&amp;Table_7_UK!$A$1&amp;" Head "&amp;Table_7_UK!A44&amp;" ("&amp;Table_7_UK!L3&amp;")"</f>
        <v>Table 7: Head 1am (Total staff costs), Table 7: Head 1am (Other operating expenses)</v>
      </c>
      <c r="F144" s="694"/>
      <c r="G144" s="270" t="s">
        <v>366</v>
      </c>
      <c r="H144" s="271" t="str">
        <f>IF(OR(Table_7_UK!J44=0,Table_7_UK!L44&gt;0),"PASS","FAIL")</f>
        <v>PASS</v>
      </c>
      <c r="I144" s="272" t="str">
        <f>IF(OR(Table_7_UK!J44=0,Table_7_UK!L44&gt;0),"","Head "&amp;Table_7_UK!A44&amp;" ("&amp;J144&amp;")")</f>
        <v/>
      </c>
      <c r="J144" s="273" t="str">
        <f>Table_7_UK!J44&amp;", "&amp;Table_7_UK!L44</f>
        <v>6326, 1109</v>
      </c>
      <c r="K144" s="207">
        <f t="shared" si="6"/>
        <v>0</v>
      </c>
      <c r="L144" s="207">
        <f t="shared" si="7"/>
        <v>0</v>
      </c>
    </row>
    <row r="145" spans="1:12" customFormat="1" ht="15.6" customHeight="1" x14ac:dyDescent="0.25">
      <c r="A145" s="170" t="s">
        <v>603</v>
      </c>
      <c r="B145" s="693" t="s">
        <v>604</v>
      </c>
      <c r="C145" s="693"/>
      <c r="D145" s="693"/>
      <c r="E145" s="694" t="str">
        <f>Table_7_UK!$A$1&amp;" Head "&amp;Table_7_UK!A45&amp;" ("&amp;Table_7_UK!J3&amp;")"&amp;", "&amp;Table_7_UK!$A$1&amp;" Head "&amp;Table_7_UK!A45&amp;" ("&amp;Table_7_UK!L3&amp;")"</f>
        <v>Table 7: Head 1an (Total staff costs), Table 7: Head 1an (Other operating expenses)</v>
      </c>
      <c r="F145" s="694"/>
      <c r="G145" s="270" t="s">
        <v>366</v>
      </c>
      <c r="H145" s="271" t="str">
        <f>IF(OR(Table_7_UK!J45=0,Table_7_UK!L45&gt;0),"PASS","FAIL")</f>
        <v>PASS</v>
      </c>
      <c r="I145" s="272" t="str">
        <f>IF(OR(Table_7_UK!J45=0,Table_7_UK!L45&gt;0),"","Head "&amp;Table_7_UK!A45&amp;" ("&amp;J145&amp;")")</f>
        <v/>
      </c>
      <c r="J145" s="273" t="str">
        <f>Table_7_UK!J45&amp;", "&amp;Table_7_UK!L45</f>
        <v>2427, 280</v>
      </c>
      <c r="K145" s="207">
        <f t="shared" si="6"/>
        <v>0</v>
      </c>
      <c r="L145" s="207">
        <f t="shared" si="7"/>
        <v>0</v>
      </c>
    </row>
    <row r="146" spans="1:12" customFormat="1" ht="15.6" customHeight="1" x14ac:dyDescent="0.25">
      <c r="A146" s="170" t="s">
        <v>605</v>
      </c>
      <c r="B146" s="693" t="s">
        <v>606</v>
      </c>
      <c r="C146" s="693"/>
      <c r="D146" s="693"/>
      <c r="E146" s="694" t="str">
        <f>Table_7_UK!$A$1&amp;" Head "&amp;Table_7_UK!A46&amp;" ("&amp;Table_7_UK!J3&amp;")"&amp;", "&amp;Table_7_UK!$A$1&amp;" Head "&amp;Table_7_UK!A46&amp;" ("&amp;Table_7_UK!L3&amp;")"</f>
        <v>Table 7: Head 1ao (Total staff costs), Table 7: Head 1ao (Other operating expenses)</v>
      </c>
      <c r="F146" s="694"/>
      <c r="G146" s="270" t="s">
        <v>366</v>
      </c>
      <c r="H146" s="271" t="str">
        <f>IF(OR(Table_7_UK!J46=0,Table_7_UK!L46&gt;0),"PASS","FAIL")</f>
        <v>PASS</v>
      </c>
      <c r="I146" s="272" t="str">
        <f>IF(OR(Table_7_UK!J46=0,Table_7_UK!L46&gt;0),"","Head "&amp;Table_7_UK!A46&amp;" ("&amp;J146&amp;")")</f>
        <v/>
      </c>
      <c r="J146" s="273" t="str">
        <f>Table_7_UK!J46&amp;", "&amp;Table_7_UK!L46</f>
        <v>4517, 743</v>
      </c>
      <c r="K146" s="207">
        <f t="shared" si="6"/>
        <v>0</v>
      </c>
      <c r="L146" s="207">
        <f t="shared" si="7"/>
        <v>0</v>
      </c>
    </row>
    <row r="147" spans="1:12" customFormat="1" ht="15.6" customHeight="1" x14ac:dyDescent="0.25">
      <c r="A147" s="170" t="s">
        <v>607</v>
      </c>
      <c r="B147" s="693" t="s">
        <v>608</v>
      </c>
      <c r="C147" s="693"/>
      <c r="D147" s="693"/>
      <c r="E147" s="694" t="str">
        <f>Table_7_UK!$A$1&amp;" Head "&amp;Table_7_UK!A47&amp;" ("&amp;Table_7_UK!J3&amp;")"&amp;", "&amp;Table_7_UK!$A$1&amp;" Head "&amp;Table_7_UK!A47&amp;" ("&amp;Table_7_UK!L3&amp;")"</f>
        <v>Table 7: Head 1ap (Total staff costs), Table 7: Head 1ap (Other operating expenses)</v>
      </c>
      <c r="F147" s="694"/>
      <c r="G147" s="270" t="s">
        <v>366</v>
      </c>
      <c r="H147" s="271" t="str">
        <f>IF(OR(Table_7_UK!J47=0,Table_7_UK!L47&gt;0),"PASS","FAIL")</f>
        <v>PASS</v>
      </c>
      <c r="I147" s="272" t="str">
        <f>IF(OR(Table_7_UK!J47=0,Table_7_UK!L47&gt;0),"","Head "&amp;Table_7_UK!A47&amp;" ("&amp;J147&amp;")")</f>
        <v/>
      </c>
      <c r="J147" s="273" t="str">
        <f>Table_7_UK!J47&amp;", "&amp;Table_7_UK!L47</f>
        <v>3023, 876</v>
      </c>
      <c r="K147" s="207">
        <f t="shared" si="6"/>
        <v>0</v>
      </c>
      <c r="L147" s="207">
        <f t="shared" si="7"/>
        <v>0</v>
      </c>
    </row>
    <row r="148" spans="1:12" customFormat="1" ht="15.6" customHeight="1" x14ac:dyDescent="0.25">
      <c r="A148" s="170" t="s">
        <v>609</v>
      </c>
      <c r="B148" s="693" t="s">
        <v>610</v>
      </c>
      <c r="C148" s="693"/>
      <c r="D148" s="693"/>
      <c r="E148" s="694" t="str">
        <f>Table_7_UK!$A$1&amp;" Head "&amp;Table_7_UK!A48&amp;" ("&amp;Table_7_UK!J3&amp;")"&amp;", "&amp;Table_7_UK!$A$1&amp;" Head "&amp;Table_7_UK!A48&amp;" ("&amp;Table_7_UK!L3&amp;")"</f>
        <v>Table 7: Head 1aq (Total staff costs), Table 7: Head 1aq (Other operating expenses)</v>
      </c>
      <c r="F148" s="694"/>
      <c r="G148" s="270" t="s">
        <v>366</v>
      </c>
      <c r="H148" s="271" t="str">
        <f>IF(OR(Table_7_UK!J48=0,Table_7_UK!L48&gt;0),"PASS","FAIL")</f>
        <v>PASS</v>
      </c>
      <c r="I148" s="272" t="str">
        <f>IF(OR(Table_7_UK!J48=0,Table_7_UK!L48&gt;0),"","Head "&amp;Table_7_UK!A48&amp;" ("&amp;J148&amp;")")</f>
        <v/>
      </c>
      <c r="J148" s="273" t="str">
        <f>Table_7_UK!J48&amp;", "&amp;Table_7_UK!L48</f>
        <v>12698, 2361</v>
      </c>
      <c r="K148" s="207">
        <f t="shared" si="6"/>
        <v>0</v>
      </c>
      <c r="L148" s="207">
        <f t="shared" si="7"/>
        <v>0</v>
      </c>
    </row>
    <row r="149" spans="1:12" customFormat="1" ht="15.6" customHeight="1" x14ac:dyDescent="0.25">
      <c r="A149" s="170" t="s">
        <v>611</v>
      </c>
      <c r="B149" s="693" t="s">
        <v>612</v>
      </c>
      <c r="C149" s="693"/>
      <c r="D149" s="693"/>
      <c r="E149" s="694" t="str">
        <f>Table_7_UK!$A$1&amp;" Head "&amp;Table_7_UK!A49&amp;" ("&amp;Table_7_UK!J3&amp;")"&amp;", "&amp;Table_7_UK!$A$1&amp;" Head "&amp;Table_7_UK!A49&amp;" ("&amp;Table_7_UK!L3&amp;")"</f>
        <v>Table 7: Head 1ar (Total staff costs), Table 7: Head 1ar (Other operating expenses)</v>
      </c>
      <c r="F149" s="694"/>
      <c r="G149" s="270" t="s">
        <v>366</v>
      </c>
      <c r="H149" s="271" t="str">
        <f>IF(OR(Table_7_UK!J49=0,Table_7_UK!L49&gt;0),"PASS","FAIL")</f>
        <v>PASS</v>
      </c>
      <c r="I149" s="272" t="str">
        <f>IF(OR(Table_7_UK!J49=0,Table_7_UK!L49&gt;0),"","Head "&amp;Table_7_UK!A49&amp;" ("&amp;J149&amp;")")</f>
        <v/>
      </c>
      <c r="J149" s="273" t="str">
        <f>Table_7_UK!J49&amp;", "&amp;Table_7_UK!L49</f>
        <v>1450, 436</v>
      </c>
      <c r="K149" s="207">
        <f t="shared" si="6"/>
        <v>0</v>
      </c>
      <c r="L149" s="207">
        <f t="shared" si="7"/>
        <v>0</v>
      </c>
    </row>
    <row r="150" spans="1:12" customFormat="1" ht="15.6" customHeight="1" x14ac:dyDescent="0.25">
      <c r="A150" s="170" t="s">
        <v>613</v>
      </c>
      <c r="B150" s="693" t="s">
        <v>614</v>
      </c>
      <c r="C150" s="693"/>
      <c r="D150" s="693"/>
      <c r="E150" s="694" t="str">
        <f>Table_7_UK!$A$1&amp;" Head "&amp;Table_7_UK!A50&amp;" ("&amp;Table_7_UK!J3&amp;")"&amp;", "&amp;Table_7_UK!$A$1&amp;" Head "&amp;Table_7_UK!A50&amp;" ("&amp;Table_7_UK!L3&amp;")"</f>
        <v>Table 7: Head 1as (Total staff costs), Table 7: Head 1as (Other operating expenses)</v>
      </c>
      <c r="F150" s="694"/>
      <c r="G150" s="270" t="s">
        <v>366</v>
      </c>
      <c r="H150" s="271" t="str">
        <f>IF(OR(Table_7_UK!J50=0,Table_7_UK!L50&gt;0),"PASS","FAIL")</f>
        <v>PASS</v>
      </c>
      <c r="I150" s="272" t="str">
        <f>IF(OR(Table_7_UK!J50=0,Table_7_UK!L50&gt;0),"","Head "&amp;Table_7_UK!A50&amp;" ("&amp;J150&amp;")")</f>
        <v/>
      </c>
      <c r="J150" s="273" t="str">
        <f>Table_7_UK!J50&amp;", "&amp;Table_7_UK!L50</f>
        <v>0, 0</v>
      </c>
      <c r="K150" s="207">
        <f t="shared" si="6"/>
        <v>0</v>
      </c>
      <c r="L150" s="207">
        <f t="shared" si="7"/>
        <v>0</v>
      </c>
    </row>
    <row r="151" spans="1:12" customFormat="1" ht="15.6" customHeight="1" x14ac:dyDescent="0.25">
      <c r="A151" s="170" t="s">
        <v>615</v>
      </c>
      <c r="B151" s="693" t="s">
        <v>616</v>
      </c>
      <c r="C151" s="693"/>
      <c r="D151" s="693"/>
      <c r="E151" s="694" t="str">
        <f>Table_7_UK!$A$1&amp;" Head "&amp;Table_7_UK!A102&amp;" ("&amp;Table_7_UK!L3&amp;")"</f>
        <v>Table 7: Head 7a (Other operating expenses)</v>
      </c>
      <c r="F151" s="694"/>
      <c r="G151" s="270" t="s">
        <v>366</v>
      </c>
      <c r="H151" s="271" t="str">
        <f>IF(Table_7_UK!L102&lt;&gt;0,"FAIL","PASS")</f>
        <v>PASS</v>
      </c>
      <c r="I151" s="272" t="str">
        <f>IF(Table_7_UK!L102&lt;&gt;0,"Head "&amp;Table_7_UK!A102&amp;" ("&amp;J151&amp;")","")</f>
        <v/>
      </c>
      <c r="J151" s="273">
        <f>Table_7_UK!L102</f>
        <v>0</v>
      </c>
      <c r="K151" s="207">
        <f t="shared" si="6"/>
        <v>0</v>
      </c>
      <c r="L151" s="207">
        <f t="shared" si="7"/>
        <v>0</v>
      </c>
    </row>
    <row r="152" spans="1:12" s="4" customFormat="1" ht="30" customHeight="1" x14ac:dyDescent="0.2">
      <c r="A152" s="170" t="s">
        <v>617</v>
      </c>
      <c r="B152" s="693" t="s">
        <v>618</v>
      </c>
      <c r="C152" s="693"/>
      <c r="D152" s="693"/>
      <c r="E152" s="694" t="str">
        <f>Table_7_UK!$A$1&amp;" Head "&amp;Table_7_UK!A103&amp;" ("&amp;Table_7_UK!O3&amp;")"&amp;", "&amp;Table_7_UK!A106&amp;" ("&amp;Table_7_UK!O3&amp;")"</f>
        <v>Table 7: Head 7b (Total expenditure), 8 (Total expenditure)</v>
      </c>
      <c r="F152" s="694"/>
      <c r="G152" s="281" t="s">
        <v>366</v>
      </c>
      <c r="H152" s="79" t="str">
        <f>IF(OR(Table_7_UK!O103&gt;=20000,IF(Table_7_UK!O103=0,0,(Table_7_UK!O103/Table_7_UK!O106)&gt;=0.1)),"FAIL","PASS")</f>
        <v>FAIL</v>
      </c>
      <c r="I152" s="278" t="str">
        <f>IF(OR(Table_7_UK!O103&gt;=20000,IF(Table_7_UK!O103=0,0,(Table_7_UK!O103/Table_7_UK!O106)&gt;=0.1)),"Head "&amp;Table_7_UK!A103&amp;" ("&amp;Table_7_UK!O103&amp;")"&amp;", "&amp;Table_7_UK!A106&amp;" ("&amp;Table_7_UK!O106&amp;")","")</f>
        <v>Head 7b (39034), 8 (933711)</v>
      </c>
      <c r="J152" s="279" t="str">
        <f>Table_7_UK!O103&amp;", "&amp;Table_7_UK!O106</f>
        <v>39034, 933711</v>
      </c>
      <c r="K152" s="207">
        <f t="shared" ref="K152:K183" si="8">IF(AND(G152="Error",H152="FAIL"),1,0)</f>
        <v>0</v>
      </c>
      <c r="L152" s="207">
        <f t="shared" ref="L152:L183" si="9">IF(AND(G152="Warning",H152="FAIL"),1,0)</f>
        <v>1</v>
      </c>
    </row>
    <row r="153" spans="1:12" s="4" customFormat="1" ht="15.6" customHeight="1" x14ac:dyDescent="0.2">
      <c r="A153" s="170" t="s">
        <v>619</v>
      </c>
      <c r="B153" s="693" t="s">
        <v>620</v>
      </c>
      <c r="C153" s="693"/>
      <c r="D153" s="693"/>
      <c r="E153" s="694" t="str">
        <f>Table_7_UK!$A$1&amp;" Head "&amp;Table_7_UK!A57&amp;" "&amp;Table_7_UK!A58&amp;" ("&amp;Table_7_UK!O3&amp;")"&amp;", "&amp;Table_7_UK!A57&amp;" "&amp;Table_7_UK!A59&amp;" ("&amp;Table_7_UK!O3&amp;")"</f>
        <v>Table 7: Head 3b i (Total expenditure), 3b ii (Total expenditure)</v>
      </c>
      <c r="F153" s="694"/>
      <c r="G153" s="281" t="s">
        <v>366</v>
      </c>
      <c r="H153" s="79" t="str">
        <f>IF(Table_7_UK!O58+Table_7_UK!O59=0,"FAIL","PASS")</f>
        <v>PASS</v>
      </c>
      <c r="I153" s="278" t="str">
        <f>IF(Table_7_UK!O58+Table_7_UK!O59=0,"Head "&amp;Table_7_UK!A57&amp;" "&amp;Table_7_UK!A58&amp;" ("&amp;Table_7_UK!O58&amp;")"&amp;", "&amp;Table_7_UK!A57&amp;" "&amp;Table_7_UK!A59&amp;" ("&amp;Table_7_UK!O59&amp;")","")</f>
        <v/>
      </c>
      <c r="J153" s="279" t="str">
        <f>Table_7_UK!O58&amp;", "&amp;Table_7_UK!O59</f>
        <v>2025, 14309</v>
      </c>
      <c r="K153" s="207">
        <f t="shared" si="8"/>
        <v>0</v>
      </c>
      <c r="L153" s="207">
        <f t="shared" si="9"/>
        <v>0</v>
      </c>
    </row>
    <row r="154" spans="1:12" customFormat="1" ht="30" customHeight="1" x14ac:dyDescent="0.25">
      <c r="A154" s="170" t="s">
        <v>621</v>
      </c>
      <c r="B154" s="693" t="s">
        <v>622</v>
      </c>
      <c r="C154" s="693"/>
      <c r="D154" s="693"/>
      <c r="E154" s="694" t="str">
        <f>Table_7_UK!$A$1&amp;" Head "&amp;Table_7_UK!A57&amp;" "&amp;Table_7_UK!A59&amp;" ("&amp;Table_7_UK!O3&amp;")"</f>
        <v>Table 7: Head 3b ii (Total expenditure)</v>
      </c>
      <c r="F154" s="694"/>
      <c r="G154" s="79" t="s">
        <v>366</v>
      </c>
      <c r="H154" s="276" t="str">
        <f>IF(Table_7_UK!O59=0,"FAIL","PASS")</f>
        <v>PASS</v>
      </c>
      <c r="I154" s="272" t="str">
        <f>IF(Table_7_UK!O59=0,"Head "&amp;Table_7_UK!A57&amp;" "&amp;Table_7_UK!A59&amp;" ("&amp;J154&amp;")","")</f>
        <v/>
      </c>
      <c r="J154" s="277">
        <f>Table_7_UK!O59</f>
        <v>14309</v>
      </c>
      <c r="K154" s="207">
        <f t="shared" si="8"/>
        <v>0</v>
      </c>
      <c r="L154" s="207">
        <f t="shared" si="9"/>
        <v>0</v>
      </c>
    </row>
    <row r="155" spans="1:12" customFormat="1" ht="15.6" customHeight="1" x14ac:dyDescent="0.25">
      <c r="A155" s="170" t="s">
        <v>623</v>
      </c>
      <c r="B155" s="693" t="s">
        <v>624</v>
      </c>
      <c r="C155" s="693"/>
      <c r="D155" s="693"/>
      <c r="E155" s="694" t="str">
        <f>Table_8_UK!$A$1&amp;" Head "&amp;Table_8_UK!A6&amp;" ("&amp;Table_8_UK!O3&amp;")"</f>
        <v>Table 8: Head 1a (Total actual spend)</v>
      </c>
      <c r="F155" s="694"/>
      <c r="G155" s="270" t="s">
        <v>366</v>
      </c>
      <c r="H155" s="271" t="str">
        <f>IF(Table_8_UK!O6&gt;=0,"PASS","FAIL")</f>
        <v>PASS</v>
      </c>
      <c r="I155" s="272" t="str">
        <f>IF(Table_8_UK!O6&gt;=0,"","Head "&amp;Table_8_UK!A6&amp;" ("&amp;J155&amp;")")</f>
        <v/>
      </c>
      <c r="J155" s="273">
        <f>Table_8_UK!O6</f>
        <v>3209</v>
      </c>
      <c r="K155" s="207">
        <f t="shared" si="8"/>
        <v>0</v>
      </c>
      <c r="L155" s="207">
        <f t="shared" si="9"/>
        <v>0</v>
      </c>
    </row>
    <row r="156" spans="1:12" customFormat="1" ht="15.6" customHeight="1" x14ac:dyDescent="0.25">
      <c r="A156" s="170" t="s">
        <v>625</v>
      </c>
      <c r="B156" s="693" t="s">
        <v>626</v>
      </c>
      <c r="C156" s="693"/>
      <c r="D156" s="693"/>
      <c r="E156" s="694" t="str">
        <f>Table_8_UK!$A$1&amp;" Head "&amp;Table_8_UK!A7&amp;" ("&amp;Table_8_UK!O3&amp;")"</f>
        <v>Table 8: Head 1b (Total actual spend)</v>
      </c>
      <c r="F156" s="694"/>
      <c r="G156" s="270" t="s">
        <v>366</v>
      </c>
      <c r="H156" s="271" t="str">
        <f>IF(Table_8_UK!O7&gt;=0,"PASS","FAIL")</f>
        <v>PASS</v>
      </c>
      <c r="I156" s="272" t="str">
        <f>IF(Table_8_UK!O7&gt;=0,"","Head "&amp;Table_8_UK!A7&amp;" ("&amp;J156&amp;")")</f>
        <v/>
      </c>
      <c r="J156" s="273">
        <f>Table_8_UK!O7</f>
        <v>0</v>
      </c>
      <c r="K156" s="207">
        <f t="shared" si="8"/>
        <v>0</v>
      </c>
      <c r="L156" s="207">
        <f t="shared" si="9"/>
        <v>0</v>
      </c>
    </row>
    <row r="157" spans="1:12" customFormat="1" ht="15.6" customHeight="1" x14ac:dyDescent="0.25">
      <c r="A157" s="170" t="s">
        <v>627</v>
      </c>
      <c r="B157" s="693" t="s">
        <v>628</v>
      </c>
      <c r="C157" s="693"/>
      <c r="D157" s="693"/>
      <c r="E157" s="694" t="str">
        <f>Table_8_UK!$A$1&amp;" Head "&amp;Table_8_UK!A10&amp;" ("&amp;Table_8_UK!O3&amp;")"</f>
        <v>Table 8: Head 2a (Total actual spend)</v>
      </c>
      <c r="F157" s="694"/>
      <c r="G157" s="270" t="s">
        <v>366</v>
      </c>
      <c r="H157" s="271" t="str">
        <f>IF(Table_8_UK!O10&gt;=0,"PASS","FAIL")</f>
        <v>PASS</v>
      </c>
      <c r="I157" s="272" t="str">
        <f>IF(Table_8_UK!O10&gt;=0,"","Head "&amp;Table_8_UK!A10&amp;" ("&amp;J157&amp;")")</f>
        <v/>
      </c>
      <c r="J157" s="273">
        <f>Table_8_UK!O10</f>
        <v>0</v>
      </c>
      <c r="K157" s="207">
        <f t="shared" si="8"/>
        <v>0</v>
      </c>
      <c r="L157" s="207">
        <f t="shared" si="9"/>
        <v>0</v>
      </c>
    </row>
    <row r="158" spans="1:12" customFormat="1" ht="15.6" customHeight="1" x14ac:dyDescent="0.25">
      <c r="A158" s="170" t="s">
        <v>629</v>
      </c>
      <c r="B158" s="693" t="s">
        <v>630</v>
      </c>
      <c r="C158" s="693"/>
      <c r="D158" s="693"/>
      <c r="E158" s="694" t="str">
        <f>Table_8_UK!$A$1&amp;" Head "&amp;Table_8_UK!A11&amp;" ("&amp;Table_8_UK!O3&amp;")"</f>
        <v>Table 8: Head 2b (Total actual spend)</v>
      </c>
      <c r="F158" s="694"/>
      <c r="G158" s="270" t="s">
        <v>366</v>
      </c>
      <c r="H158" s="271" t="str">
        <f>IF(Table_8_UK!O11&gt;=0,"PASS","FAIL")</f>
        <v>PASS</v>
      </c>
      <c r="I158" s="272" t="str">
        <f>IF(Table_8_UK!O11&gt;=0,"","Head "&amp;Table_8_UK!A11&amp;" ("&amp;J158&amp;")")</f>
        <v/>
      </c>
      <c r="J158" s="273">
        <f>Table_8_UK!O11</f>
        <v>0</v>
      </c>
      <c r="K158" s="207">
        <f t="shared" si="8"/>
        <v>0</v>
      </c>
      <c r="L158" s="207">
        <f t="shared" si="9"/>
        <v>0</v>
      </c>
    </row>
    <row r="159" spans="1:12" customFormat="1" ht="15.6" customHeight="1" x14ac:dyDescent="0.25">
      <c r="A159" s="170" t="s">
        <v>631</v>
      </c>
      <c r="B159" s="693" t="s">
        <v>632</v>
      </c>
      <c r="C159" s="693"/>
      <c r="D159" s="693"/>
      <c r="E159" s="694" t="str">
        <f>Table_8_UK!$A$1&amp;" Head "&amp;Table_8_UK!A14&amp;" ("&amp;Table_8_UK!O3&amp;")"</f>
        <v>Table 8: Head 3a (Total actual spend)</v>
      </c>
      <c r="F159" s="694"/>
      <c r="G159" s="270" t="s">
        <v>366</v>
      </c>
      <c r="H159" s="271" t="str">
        <f>IF(Table_8_UK!O14&gt;=0,"PASS","FAIL")</f>
        <v>PASS</v>
      </c>
      <c r="I159" s="272" t="str">
        <f>IF(Table_8_UK!O14&gt;=0,"","Head "&amp;Table_8_UK!A14&amp;" ("&amp;J159&amp;")")</f>
        <v/>
      </c>
      <c r="J159" s="273">
        <f>Table_8_UK!O14</f>
        <v>75426</v>
      </c>
      <c r="K159" s="207">
        <f t="shared" si="8"/>
        <v>0</v>
      </c>
      <c r="L159" s="207">
        <f t="shared" si="9"/>
        <v>0</v>
      </c>
    </row>
    <row r="160" spans="1:12" customFormat="1" ht="15.6" customHeight="1" x14ac:dyDescent="0.25">
      <c r="A160" s="170" t="s">
        <v>633</v>
      </c>
      <c r="B160" s="693" t="s">
        <v>634</v>
      </c>
      <c r="C160" s="693"/>
      <c r="D160" s="693"/>
      <c r="E160" s="694" t="str">
        <f>Table_8_UK!$A$1&amp;" Head "&amp;Table_8_UK!A15&amp;" ("&amp;Table_8_UK!O3&amp;")"</f>
        <v>Table 8: Head 3b (Total actual spend)</v>
      </c>
      <c r="F160" s="694"/>
      <c r="G160" s="270" t="s">
        <v>366</v>
      </c>
      <c r="H160" s="271" t="str">
        <f>IF(Table_8_UK!O15&gt;=0,"PASS","FAIL")</f>
        <v>PASS</v>
      </c>
      <c r="I160" s="272" t="str">
        <f>IF(Table_8_UK!O15&gt;=0,"","Head "&amp;Table_8_UK!A15&amp;" ("&amp;J160&amp;")")</f>
        <v/>
      </c>
      <c r="J160" s="273">
        <f>Table_8_UK!O15</f>
        <v>24135</v>
      </c>
      <c r="K160" s="207">
        <f t="shared" si="8"/>
        <v>0</v>
      </c>
      <c r="L160" s="207">
        <f t="shared" si="9"/>
        <v>0</v>
      </c>
    </row>
    <row r="161" spans="1:12" customFormat="1" ht="15.6" customHeight="1" x14ac:dyDescent="0.25">
      <c r="A161" s="170" t="s">
        <v>635</v>
      </c>
      <c r="B161" s="693" t="s">
        <v>636</v>
      </c>
      <c r="C161" s="693"/>
      <c r="D161" s="693"/>
      <c r="E161" s="694" t="str">
        <f>Table_8_UK!$A$1&amp;" Head "&amp;Table_8_UK!A17&amp;" ("&amp;Table_8_UK!O3&amp;")"</f>
        <v>Table 8: Head 4 (Total actual spend)</v>
      </c>
      <c r="F161" s="694"/>
      <c r="G161" s="270" t="s">
        <v>366</v>
      </c>
      <c r="H161" s="271" t="str">
        <f>IF(Table_8_UK!O17&gt;=0,"PASS","FAIL")</f>
        <v>PASS</v>
      </c>
      <c r="I161" s="272" t="str">
        <f>IF(Table_8_UK!O17&gt;=0,"","Head "&amp;Table_8_UK!A17&amp;" ("&amp;J161&amp;")")</f>
        <v/>
      </c>
      <c r="J161" s="273">
        <f>Table_8_UK!O17</f>
        <v>102770</v>
      </c>
      <c r="K161" s="207">
        <f t="shared" si="8"/>
        <v>0</v>
      </c>
      <c r="L161" s="207">
        <f t="shared" si="9"/>
        <v>0</v>
      </c>
    </row>
    <row r="162" spans="1:12" customFormat="1" ht="16.5" customHeight="1" x14ac:dyDescent="0.25">
      <c r="A162" s="170" t="s">
        <v>637</v>
      </c>
      <c r="B162" s="693" t="s">
        <v>638</v>
      </c>
      <c r="C162" s="693"/>
      <c r="D162" s="693"/>
      <c r="E162" s="694" t="str">
        <f>Table_8_UK!$A$1&amp;" Head "&amp;Table_8_UK!A6&amp;", "&amp;Table_8_UK!A7&amp;", "&amp;Table_8_UK!A10&amp;", "&amp;Table_8_UK!A11&amp;", "&amp;Table_8_UK!A14&amp;", "&amp;Table_8_UK!A15&amp;" ("&amp;Table_8_UK!O3&amp;")"</f>
        <v>Table 8: Head 1a, 1b, 2a, 2b, 3a, 3b (Total actual spend)</v>
      </c>
      <c r="F162" s="694"/>
      <c r="G162" s="270" t="s">
        <v>361</v>
      </c>
      <c r="H162" s="282" t="str">
        <f>IF(OR(Table_8_UK!O6&gt;400000,Table_8_UK!O7&gt;400000,Table_8_UK!O10&gt;400000,Table_8_UK!O11&gt;400000,Table_8_UK!O14&gt;400000,Table_8_UK!O15&gt;400000),"FAIL","PASS")</f>
        <v>PASS</v>
      </c>
      <c r="I162" s="283" t="str">
        <f>IF(OR(Table_8_UK!O6&gt;400000,Table_8_UK!O7&gt;400000,Table_8_UK!O10&gt;400000,Table_8_UK!O11&gt;400000,Table_8_UK!O14&gt;400000,Table_8_UK!O15&gt;400000),"Head "&amp;Table_8_UK!A6&amp;" ("&amp;Table_8_UK!O6&amp;")"&amp;","&amp;Table_8_UK!A7&amp;" ("&amp;Table_8_UK!O7&amp;")"&amp;","&amp;Table_8_UK!A10&amp;" ("&amp;Table_8_UK!O10&amp;")"&amp;","&amp;Table_8_UK!A11&amp;" ("&amp;Table_8_UK!O11&amp;")"&amp;", "&amp;Table_8_UK!A14&amp;" ("&amp;Table_8_UK!O14&amp;")"&amp;", "&amp;Table_8_UK!A15&amp;" ("&amp;Table_8_UK!O15&amp;")","")</f>
        <v/>
      </c>
      <c r="J162" s="280" t="str">
        <f>Table_8_UK!O6&amp;", "&amp;Table_8_UK!O7&amp;", "&amp;Table_8_UK!O10&amp;", "&amp;Table_8_UK!O11&amp;", "&amp;Table_8_UK!O14&amp;", "&amp;Table_8_UK!O15</f>
        <v>3209, 0, 0, 0, 75426, 24135</v>
      </c>
      <c r="K162" s="207">
        <f t="shared" si="8"/>
        <v>0</v>
      </c>
      <c r="L162" s="207">
        <f t="shared" si="9"/>
        <v>0</v>
      </c>
    </row>
    <row r="163" spans="1:12" customFormat="1" ht="15.6" customHeight="1" x14ac:dyDescent="0.25">
      <c r="A163" s="170" t="s">
        <v>639</v>
      </c>
      <c r="B163" s="693" t="s">
        <v>640</v>
      </c>
      <c r="C163" s="693"/>
      <c r="D163" s="693"/>
      <c r="E163" s="694" t="str">
        <f>Table_8_UK!$A$1&amp;" Head "&amp;Table_8_UK!A6&amp;", "&amp;Table_8_UK!A7&amp;" ("&amp;Table_8_UK!H3&amp;")"</f>
        <v>Table 8: Head 1a, 1b (Funding body grants)</v>
      </c>
      <c r="F163" s="694"/>
      <c r="G163" s="271" t="s">
        <v>366</v>
      </c>
      <c r="H163" s="271" t="str">
        <f>IF(AND(Table_8_UK!H6=0,Table_8_UK!H7=0),"PASS","FAIL")</f>
        <v>PASS</v>
      </c>
      <c r="I163" s="272" t="str">
        <f>IF(AND(Table_8_UK!H6=0,Table_8_UK!H7=0),"","Head "&amp;Table_8_UK!A6&amp;", "&amp;Table_8_UK!A7&amp;" ("&amp;J163&amp;")")</f>
        <v/>
      </c>
      <c r="J163" s="273" t="str">
        <f>Table_8_UK!H6&amp;", "&amp;Table_8_UK!H7</f>
        <v>0, 0</v>
      </c>
      <c r="K163" s="207">
        <f t="shared" si="8"/>
        <v>0</v>
      </c>
      <c r="L163" s="207">
        <f t="shared" si="9"/>
        <v>0</v>
      </c>
    </row>
    <row r="164" spans="1:12" customFormat="1" ht="15.6" customHeight="1" x14ac:dyDescent="0.25">
      <c r="A164" s="170" t="s">
        <v>641</v>
      </c>
      <c r="B164" s="693" t="s">
        <v>642</v>
      </c>
      <c r="C164" s="693"/>
      <c r="D164" s="693"/>
      <c r="E164" s="694" t="str">
        <f>Table_8_UK!$A$1&amp;" Head "&amp;Table_8_UK!A10&amp;", "&amp;Table_8_UK!A11&amp;" ("&amp;Table_8_UK!H3&amp;")"</f>
        <v>Table 8: Head 2a, 2b (Funding body grants)</v>
      </c>
      <c r="F164" s="694"/>
      <c r="G164" s="271" t="s">
        <v>366</v>
      </c>
      <c r="H164" s="271" t="str">
        <f>IF(AND(Table_8_UK!H10=0,Table_8_UK!H11=0),"PASS","FAIL")</f>
        <v>PASS</v>
      </c>
      <c r="I164" s="272" t="str">
        <f>IF(AND(Table_8_UK!H10=0,Table_8_UK!H11=0),"","Head "&amp;Table_8_UK!A10&amp;", "&amp;Table_8_UK!A11&amp;" ("&amp;J164&amp;")")</f>
        <v/>
      </c>
      <c r="J164" s="273" t="str">
        <f>Table_8_UK!H10&amp;", "&amp;Table_8_UK!H11</f>
        <v>0, 0</v>
      </c>
      <c r="K164" s="207">
        <f t="shared" si="8"/>
        <v>0</v>
      </c>
      <c r="L164" s="207">
        <f t="shared" si="9"/>
        <v>0</v>
      </c>
    </row>
    <row r="165" spans="1:12" customFormat="1" ht="30.4" customHeight="1" x14ac:dyDescent="0.25">
      <c r="A165" s="170" t="s">
        <v>643</v>
      </c>
      <c r="B165" s="693" t="s">
        <v>644</v>
      </c>
      <c r="C165" s="693"/>
      <c r="D165" s="693"/>
      <c r="E165" s="694" t="str">
        <f>Table_8_UK!$A$1&amp;" Head "&amp;Table_8_UK!A17&amp;" ("&amp;Table_8_UK!H3&amp;")"&amp;", "&amp;Table_6_Wales!$A$1&amp;" Head "&amp;Table_6_Wales!A12&amp;", "&amp;Table_6_Wales!A13</f>
        <v>Table 8: Head 4 (Funding body grants), Table 6_W: Head 1g, 1h</v>
      </c>
      <c r="F165" s="694"/>
      <c r="G165" s="271" t="s">
        <v>366</v>
      </c>
      <c r="H165" s="276" t="str">
        <f>IF(AND($B$4="W",OR(Table_6_Wales!H12&gt;0,Table_6_Wales!H13&gt;0),Table_8_UK!H17=0),"FAIL","PASS")</f>
        <v>PASS</v>
      </c>
      <c r="I165" s="272" t="str">
        <f>IF(AND($B$4="W",OR(Table_6_Wales!H12&gt;0,Table_6_Wales!H13&gt;0),Table_8_UK!H17=0),Table_8_UK!$A$1&amp;" Head "&amp;Table_8_UK!A17&amp;" ("&amp;Table_8_UK!H17&amp;")"&amp;", "&amp;Table_6_Wales!$A$1&amp;" Head "&amp;Table_6_Wales!A12&amp;", "&amp;Table_6_Wales!A13&amp;" ("&amp;Table_6_UK!H12&amp;", "&amp;Table_6_Wales!H13&amp;")","")</f>
        <v/>
      </c>
      <c r="J165" s="273" t="str">
        <f>Table_8_UK!H17&amp;", "&amp;Table_6_Wales!H12&amp;", "&amp;Table_6_Wales!H13</f>
        <v>3397, 0, 0</v>
      </c>
      <c r="K165" s="207">
        <f t="shared" si="8"/>
        <v>0</v>
      </c>
      <c r="L165" s="207">
        <f t="shared" si="9"/>
        <v>0</v>
      </c>
    </row>
    <row r="166" spans="1:12" customFormat="1" ht="30.6" customHeight="1" x14ac:dyDescent="0.25">
      <c r="A166" s="170" t="s">
        <v>645</v>
      </c>
      <c r="B166" s="693" t="s">
        <v>646</v>
      </c>
      <c r="C166" s="693"/>
      <c r="D166" s="693"/>
      <c r="E166" s="694" t="str">
        <f>Table_8_UK!$A$1&amp;" Head "&amp;Table_8_UK!A17&amp;" ("&amp;Table_8_UK!H3&amp;")"&amp;", "&amp;Table_6_Scotland!$A$1&amp;" Head "&amp;Table_6_Scotland!A11</f>
        <v>Table 8: Head 4 (Funding body grants), Table 6_S: Head 1f</v>
      </c>
      <c r="F166" s="694"/>
      <c r="G166" s="271" t="s">
        <v>366</v>
      </c>
      <c r="H166" s="276" t="str">
        <f>IF(AND($B$4="S",Table_6_Scotland!H11,Table_8_UK!H17=0),"FAIL","PASS")</f>
        <v>PASS</v>
      </c>
      <c r="I166" s="272" t="str">
        <f>IF(AND($B$4="S",Table_6_Scotland!H11,Table_8_UK!H17=0),Table_8_UK!$A$1&amp;" Head "&amp;Table_8_UK!A17&amp;" ("&amp;Table_8_UK!H17&amp;")"&amp;", "&amp;Table_6_Scotland!$A$1&amp;" Head "&amp;Table_6_Scotland!A11&amp;" ("&amp;Table_6_Scotland!H11&amp;")","")</f>
        <v/>
      </c>
      <c r="J166" s="273" t="str">
        <f>Table_8_UK!H17&amp;", "&amp;Table_6_Scotland!H11</f>
        <v>3397, 7045</v>
      </c>
      <c r="K166" s="207">
        <f t="shared" si="8"/>
        <v>0</v>
      </c>
      <c r="L166" s="207">
        <f t="shared" si="9"/>
        <v>0</v>
      </c>
    </row>
    <row r="167" spans="1:12" customFormat="1" ht="30.6" customHeight="1" x14ac:dyDescent="0.25">
      <c r="A167" s="170" t="s">
        <v>647</v>
      </c>
      <c r="B167" s="693" t="s">
        <v>648</v>
      </c>
      <c r="C167" s="693"/>
      <c r="D167" s="693"/>
      <c r="E167" s="694" t="str">
        <f>Table_8_UK!$A$1&amp;" Head "&amp;Table_8_UK!A17&amp;" ("&amp;Table_8_UK!H3&amp;")"&amp;", "&amp;Table_6_N_Ireland!$A$1&amp;" Head "&amp;Table_6_N_Ireland!A9</f>
        <v>Table 8: Head 4 (Funding body grants), Table 6_NI: Head 1d</v>
      </c>
      <c r="F167" s="694"/>
      <c r="G167" s="271" t="s">
        <v>366</v>
      </c>
      <c r="H167" s="276" t="str">
        <f>IF(AND($B$4="N",Table_6_N_Ireland!H9&gt;0,Table_8_UK!H17=0),"FAIL","PASS")</f>
        <v>PASS</v>
      </c>
      <c r="I167" s="272" t="str">
        <f>IF(AND($B$4="N",Table_6_N_Ireland!H9&gt;0,Table_8_UK!H17=0),Table_8_UK!$A$1&amp;" Head "&amp;Table_8_UK!A17&amp;" ("&amp;Table_8_UK!H17&amp;")"&amp;", "&amp;Table_6_N_Ireland!$A$1&amp;" Head "&amp;Table_6_N_Ireland!A9&amp;" ("&amp;Table_6_N_Ireland!H9&amp;")","")</f>
        <v/>
      </c>
      <c r="J167" s="273" t="str">
        <f>Table_8_UK!H17&amp;", "&amp;Table_6_N_Ireland!H9</f>
        <v>3397, 0</v>
      </c>
      <c r="K167" s="207">
        <f t="shared" si="8"/>
        <v>0</v>
      </c>
      <c r="L167" s="207">
        <f t="shared" si="9"/>
        <v>0</v>
      </c>
    </row>
    <row r="168" spans="1:12" customFormat="1" ht="30.6" customHeight="1" x14ac:dyDescent="0.25">
      <c r="A168" s="170" t="s">
        <v>649</v>
      </c>
      <c r="B168" s="693" t="s">
        <v>650</v>
      </c>
      <c r="C168" s="693"/>
      <c r="D168" s="693"/>
      <c r="E168" s="694" t="str">
        <f>Table_8_UK!$A$1&amp;" Head "&amp;Table_8_UK!A17&amp;" ("&amp;Table_8_UK!K3&amp;")"&amp;", "&amp;Table_3_UK!$A$1&amp;" Head "&amp;Table_3_UK!A56&amp;", "&amp;Table_3_UK!A57</f>
        <v>Table 8: Head 4 (Loans), Table 3: Head 8e, 8f</v>
      </c>
      <c r="F168" s="694"/>
      <c r="G168" s="271" t="s">
        <v>366</v>
      </c>
      <c r="H168" s="276" t="str">
        <f>IF(AND(Table_3_UK!H56+Table_3_UK!H57&gt;0,Table_8_UK!K17=0),"FAIL","PASS")</f>
        <v>PASS</v>
      </c>
      <c r="I168" s="272" t="str">
        <f>IF(AND(Table_3_UK!H56+Table_3_UK!H57&gt;0,Table_8_UK!K17=0),Table_8_UK!$A$1&amp;" Head "&amp;Table_8_UK!A17&amp;" ("&amp;Table_8_UK!K17&amp;")"&amp;", "&amp;Table_3_UK!$A$1&amp;" Head "&amp;Table_3_UK!A56&amp;", "&amp;Table_3_UK!A57&amp;" ("&amp;Table_3_UK!H56&amp;", "&amp;Table_3_UK!H57&amp;")","")</f>
        <v/>
      </c>
      <c r="J168" s="273" t="str">
        <f>Table_3_UK!H56&amp;", "&amp;Table_3_UK!H57</f>
        <v>0, 0</v>
      </c>
      <c r="K168" s="207">
        <f t="shared" si="8"/>
        <v>0</v>
      </c>
      <c r="L168" s="207">
        <f t="shared" si="9"/>
        <v>0</v>
      </c>
    </row>
    <row r="169" spans="1:12" customFormat="1" ht="30" customHeight="1" x14ac:dyDescent="0.25">
      <c r="A169" s="170" t="s">
        <v>651</v>
      </c>
      <c r="B169" s="693" t="s">
        <v>652</v>
      </c>
      <c r="C169" s="693"/>
      <c r="D169" s="693"/>
      <c r="E169" s="694" t="str">
        <f>Table_9_UK!$A$1&amp;" Head "&amp;Table_9_UK!A6&amp;", "&amp;Table_9_UK!A7&amp;", "&amp;Table_9_UK!A8&amp;", "&amp;Table_9_UK!A9&amp;", "&amp;Table_9_UK!A10&amp;", "&amp;Table_9_UK!A11&amp;", "&amp;Table_9_UK!A15&amp;", "&amp;Table_9_UK!A16&amp;", "&amp;Table_9_UK!A17&amp;", "&amp;Table_9_UK!A18&amp;", "&amp;Table_9_UK!A19&amp;", "&amp;Table_9_UK!A24&amp;", "&amp;Table_9_UK!A26&amp;", "&amp;Table_9_UK!A27&amp;", "&amp;Table_9_UK!A28&amp;", "&amp;Table_9_UK!A32&amp;Table_9_UK!A36&amp;", "&amp;Table_9_UK!A37&amp;", "&amp;Table_9_UK!A38&amp;", "&amp;Table_9_UK!A39&amp;", "&amp;Table_9_UK!A44&amp;", "&amp;Table_9_UK!A45&amp;", "&amp;Table_9_UK!A46&amp;", "&amp;Table_9_UK!A47&amp;", "&amp;Table_9_UK!A49&amp;", "&amp;Table_9_UK!A53&amp;", "&amp;Table_9_UK!A54</f>
        <v>Table 9: Head 1a, 1b, 1c, 1d, 1e, 1f, 2a, 2b, 2c, 2d, 2e, 4, 6, 7, 8, 1012, 13, 14, 15, 17a, 17b, 17c, 17d, 17f, 18a, 18b</v>
      </c>
      <c r="F169" s="694"/>
      <c r="G169" s="271" t="s">
        <v>366</v>
      </c>
      <c r="H169" s="276" t="str">
        <f>IF(OR(AND(SUM(Table_9_UK!H6)&lt;&gt;0,ISBLANK(Table_9_UK!K6)),AND(SUM(Table_9_UK!H7)&lt;&gt;0,ISBLANK(Table_9_UK!K7)),AND(SUM(Table_9_UK!H8)&lt;&gt;0,ISBLANK(Table_9_UK!K8)),AND(SUM(Table_9_UK!H9)&lt;&gt;0,ISBLANK(Table_9_UK!K9)),AND(SUM(Table_9_UK!H10)&lt;&gt;0,ISBLANK(Table_9_UK!K10)),AND(SUM(Table_9_UK!H11)&lt;&gt;0,ISBLANK(Table_9_UK!K11)),AND(SUM(Table_9_UK!H15)&lt;&gt;0,ISBLANK(Table_9_UK!K15)),AND(SUM(Table_9_UK!H16)&lt;&gt;0,ISBLANK(Table_9_UK!K16)),AND(SUM(Table_9_UK!H17)&lt;&gt;0,ISBLANK(Table_9_UK!K17)),AND(SUM(Table_9_UK!H18)&lt;&gt;0,ISBLANK(Table_9_UK!K18)),AND(SUM(Table_9_UK!H19)&lt;&gt;0,ISBLANK(Table_9_UK!K19)),AND(SUM(Table_9_UK!H24)&lt;&gt;0,ISBLANK(Table_9_UK!K24)),AND(SUM(Table_9_UK!H26)&lt;&gt;0,ISBLANK(Table_9_UK!K26)),AND(SUM(Table_9_UK!H27)&lt;&gt;0,ISBLANK(Table_9_UK!K27)),AND(SUM(Table_9_UK!H28)&lt;&gt;0,ISBLANK(Table_9_UK!K28)),AND(SUM(Table_9_UK!H32)&lt;&gt;0,ISBLANK(Table_9_UK!K32)),AND(SUM(Table_9_UK!H36)&lt;&gt;0,ISBLANK(Table_9_UK!K36)),AND(SUM(Table_9_UK!H37)&lt;&gt;0,ISBLANK(Table_9_UK!K37)),AND(SUM(Table_9_UK!H38)&lt;&gt;0,ISBLANK(Table_9_UK!K38)),AND(SUM(Table_9_UK!H39)&lt;&gt;0,ISBLANK(Table_9_UK!K39)),AND(SUM(Table_9_UK!H44)&lt;&gt;0,ISBLANK(Table_9_UK!K44)),AND(SUM(Table_9_UK!H45)&lt;&gt;0,ISBLANK(Table_9_UK!K45)),AND(SUM(Table_9_UK!H46)&lt;&gt;0,ISBLANK(Table_9_UK!K46)),AND(SUM(Table_9_UK!H47)&lt;&gt;0,ISBLANK(Table_9_UK!K47)),AND(SUM(Table_9_UK!H49)&lt;&gt;0,ISBLANK(Table_9_UK!K49)),AND(SUM(Table_9_UK!H53)&lt;&gt;0,ISBLANK(Table_9_UK!K53)),AND(SUM(Table_9_UK!H54)&lt;&gt;0,ISBLANK(Table_9_UK!K54))),"FAIL","PASS")</f>
        <v>PASS</v>
      </c>
      <c r="I169" s="278" t="str">
        <f>IF(OR(AND(SUM(Table_9_UK!H6)&lt;&gt;0,ISBLANK(Table_9_UK!K6)),AND(SUM(Table_9_UK!H7)&lt;&gt;0,ISBLANK(Table_9_UK!K7)),AND(SUM(Table_9_UK!H8)&lt;&gt;0,ISBLANK(Table_9_UK!K8)),AND(SUM(Table_9_UK!H9)&lt;&gt;0,ISBLANK(Table_9_UK!K9)),AND(SUM(Table_9_UK!H10)&lt;&gt;0,ISBLANK(Table_9_UK!K10)),AND(SUM(Table_9_UK!H11)&lt;&gt;0,ISBLANK(Table_9_UK!K11)),AND(SUM(Table_9_UK!H15)&lt;&gt;0,ISBLANK(Table_9_UK!K15)),AND(SUM(Table_9_UK!H16)&lt;&gt;0,ISBLANK(Table_9_UK!K16)),AND(SUM(Table_9_UK!H17)&lt;&gt;0,ISBLANK(Table_9_UK!K17)),AND(SUM(Table_9_UK!H18)&lt;&gt;0,ISBLANK(Table_9_UK!K18)),AND(SUM(Table_9_UK!H19)&lt;&gt;0,ISBLANK(Table_9_UK!K19)),AND(SUM(Table_9_UK!H24)&lt;&gt;0,ISBLANK(Table_9_UK!K24)),AND(SUM(Table_9_UK!H26)&lt;&gt;0,ISBLANK(Table_9_UK!K26)),AND(SUM(Table_9_UK!H27)&lt;&gt;0,ISBLANK(Table_9_UK!K27)),AND(SUM(Table_9_UK!H28)&lt;&gt;0,ISBLANK(Table_9_UK!K28)),AND(SUM(Table_9_UK!H32)&lt;&gt;0,ISBLANK(Table_9_UK!K32)),AND(SUM(Table_9_UK!H36)&lt;&gt;0,ISBLANK(Table_9_UK!K36)),AND(SUM(Table_9_UK!H37)&lt;&gt;0,ISBLANK(Table_9_UK!K37)),AND(SUM(Table_9_UK!H38)&lt;&gt;0,ISBLANK(Table_9_UK!K38)),AND(SUM(Table_9_UK!H39)&lt;&gt;0,ISBLANK(Table_9_UK!K39)),AND(SUM(Table_9_UK!H44)&lt;&gt;0,ISBLANK(Table_9_UK!K44)),AND(SUM(Table_9_UK!H45)&lt;&gt;0,ISBLANK(Table_9_UK!K45)),AND(SUM(Table_9_UK!H46)&lt;&gt;0,ISBLANK(Table_9_UK!K46)),AND(SUM(Table_9_UK!H47)&lt;&gt;0,ISBLANK(Table_9_UK!K47)),AND(SUM(Table_9_UK!H49)&lt;&gt;0,ISBLANK(Table_9_UK!K49)),AND(SUM(Table_9_UK!H53)&lt;&gt;0,ISBLANK(Table_9_UK!K53)),AND(SUM(Table_9_UK!H54)&lt;&gt;0,ISBLANK(Table_9_UK!K54))),J169,"")</f>
        <v/>
      </c>
      <c r="J169" s="280" t="str">
        <f>CONCATENATE(Table_9_UK!Q6,Table_9_UK!Q7,Table_9_UK!Q8,Table_9_UK!Q9,Table_9_UK!Q10,Table_9_UK!Q11,Table_9_UK!Q15,Table_9_UK!Q16,Table_9_UK!Q17,Table_9_UK!Q18,Table_9_UK!Q19,Table_9_UK!Q24,Table_9_UK!Q26,Table_9_UK!Q27,Table_9_UK!Q28,Table_9_UK!Q32,Table_9_UK!Q36,Table_9_UK!Q37,Table_9_UK!Q38,Table_9_UK!Q39,Table_9_UK!Q44,Table_9_UK!Q45,Table_9_UK!Q46,Table_9_UK!Q47,Table_9_UK!Q49,Table_9_UK!Q53,Table_9_UK!Q54)</f>
        <v/>
      </c>
      <c r="K169" s="207">
        <f t="shared" si="8"/>
        <v>0</v>
      </c>
      <c r="L169" s="207">
        <f t="shared" si="9"/>
        <v>0</v>
      </c>
    </row>
    <row r="170" spans="1:12" customFormat="1" ht="30" customHeight="1" x14ac:dyDescent="0.25">
      <c r="A170" s="170" t="s">
        <v>653</v>
      </c>
      <c r="B170" s="693" t="s">
        <v>654</v>
      </c>
      <c r="C170" s="693"/>
      <c r="D170" s="693"/>
      <c r="E170" s="694" t="str">
        <f>Table_9_UK!$A$1&amp;" Head "&amp;Table_9_UK!A6&amp;", "&amp;Table_9_UK!A7&amp;", "&amp;Table_9_UK!A8&amp;", "&amp;Table_9_UK!A9&amp;", "&amp;Table_9_UK!A10&amp;", "&amp;Table_9_UK!A11&amp;", "&amp;Table_9_UK!A15&amp;", "&amp;Table_9_UK!A16&amp;", "&amp;Table_9_UK!A17&amp;", "&amp;Table_9_UK!A18&amp;", "&amp;Table_9_UK!A19&amp;", "&amp;Table_9_UK!A24&amp;", "&amp;Table_9_UK!A26&amp;", "&amp;Table_9_UK!A27&amp;", "&amp;Table_9_UK!A28&amp;", "&amp;Table_9_UK!A32&amp;", "&amp;Table_9_UK!A36&amp;", "&amp;Table_9_UK!A37&amp;", "&amp;Table_9_UK!A38&amp;", "&amp;Table_9_UK!A39&amp;", "&amp;Table_9_UK!A44&amp;", "&amp;Table_9_UK!A45&amp;", "&amp;Table_9_UK!A46&amp;", "&amp;Table_9_UK!A47&amp;", "&amp;Table_9_UK!A49&amp;", "&amp;Table_9_UK!A53&amp;", "&amp;Table_9_UK!A54</f>
        <v>Table 9: Head 1a, 1b, 1c, 1d, 1e, 1f, 2a, 2b, 2c, 2d, 2e, 4, 6, 7, 8, 10, 12, 13, 14, 15, 17a, 17b, 17c, 17d, 17f, 18a, 18b</v>
      </c>
      <c r="F170" s="694"/>
      <c r="G170" s="271" t="s">
        <v>366</v>
      </c>
      <c r="H170" s="276" t="str">
        <f>IF(OR(AND(SUM(Table_9_UK!H6)=0,NOT(ISBLANK(Table_9_UK!K6))),AND(SUM(Table_9_UK!H7)=0,NOT(ISBLANK(Table_9_UK!K7))),AND(SUM(Table_9_UK!H8)=0,NOT(ISBLANK(Table_9_UK!K8))),AND(SUM(Table_9_UK!H9)=0,NOT(ISBLANK(Table_9_UK!K9))),AND(SUM(Table_9_UK!H10)=0,NOT(ISBLANK(Table_9_UK!K10))),AND(SUM(Table_9_UK!H11)=0,NOT(ISBLANK(Table_9_UK!K11))),AND(SUM(Table_9_UK!H15)=0,NOT(ISBLANK(Table_9_UK!K15))),AND(SUM(Table_9_UK!H16)=0,NOT(ISBLANK(Table_9_UK!K16))),AND(SUM(Table_9_UK!H17)=0,NOT(ISBLANK(Table_9_UK!K17))),AND(SUM(Table_9_UK!H18)=0,NOT(ISBLANK(Table_9_UK!K18))),AND(SUM(Table_9_UK!H19)=0,NOT(ISBLANK(Table_9_UK!K19))),AND(SUM(Table_9_UK!H24)=0,NOT(ISBLANK(Table_9_UK!K24))),AND(SUM(Table_9_UK!H26)=0,NOT(ISBLANK(Table_9_UK!K26))),AND(SUM(Table_9_UK!H27)=0,NOT(ISBLANK(Table_9_UK!K27))),AND(SUM(Table_9_UK!H28)=0,NOT(ISBLANK(Table_9_UK!K28))),AND(SUM(Table_9_UK!H32)=0,NOT(ISBLANK(Table_9_UK!K32))),AND(SUM(Table_9_UK!H36)=0,NOT(ISBLANK(Table_9_UK!K36))),AND(SUM(Table_9_UK!H37)=0,NOT(ISBLANK(Table_9_UK!K37))),AND(SUM(Table_9_UK!H38)=0,NOT(ISBLANK(Table_9_UK!K38))),AND(SUM(Table_9_UK!H39)=0,NOT(ISBLANK(Table_9_UK!K39))),AND(SUM(Table_9_UK!H44)=0,NOT(ISBLANK(Table_9_UK!K44))),AND(SUM(Table_9_UK!H45)=0,NOT(ISBLANK(Table_9_UK!K45))),AND(SUM(Table_9_UK!H46)=0,NOT(ISBLANK(Table_9_UK!K46))),AND(SUM(Table_9_UK!H47)=0,NOT(ISBLANK(Table_9_UK!K47))),AND(SUM(Table_9_UK!H49)=0,NOT(ISBLANK(Table_9_UK!K49))),AND(SUM(Table_9_UK!H53)=0,NOT(ISBLANK(Table_9_UK!K53))),AND(SUM(Table_9_UK!H54)=0,NOT(ISBLANK(Table_9_UK!K54)))), "FAIL","PASS")</f>
        <v>PASS</v>
      </c>
      <c r="I170" s="278" t="str">
        <f>IF(OR(AND(SUM(Table_9_UK!H6)=0,NOT(ISBLANK(Table_9_UK!K6))),AND(SUM(Table_9_UK!H7)=0,NOT(ISBLANK(Table_9_UK!K7))),AND(SUM(Table_9_UK!H8)=0,NOT(ISBLANK(Table_9_UK!K8))),AND(SUM(Table_9_UK!H9)=0,NOT(ISBLANK(Table_9_UK!K9))),AND(SUM(Table_9_UK!H10)=0,NOT(ISBLANK(Table_9_UK!K10))),AND(SUM(Table_9_UK!H11)=0,NOT(ISBLANK(Table_9_UK!K11))),AND(SUM(Table_9_UK!H15)=0,NOT(ISBLANK(Table_9_UK!K15))),AND(SUM(Table_9_UK!H16)=0,NOT(ISBLANK(Table_9_UK!K16))),AND(SUM(Table_9_UK!H17)=0,NOT(ISBLANK(Table_9_UK!K17))),AND(SUM(Table_9_UK!H18)=0,NOT(ISBLANK(Table_9_UK!K18))),AND(SUM(Table_9_UK!H19)=0,NOT(ISBLANK(Table_9_UK!K19))),AND(SUM(Table_9_UK!H24)=0,NOT(ISBLANK(Table_9_UK!K24))),AND(SUM(Table_9_UK!H26)=0,NOT(ISBLANK(Table_9_UK!K26))),AND(SUM(Table_9_UK!H27)=0,NOT(ISBLANK(Table_9_UK!K27))),AND(SUM(Table_9_UK!H28)=0,NOT(ISBLANK(Table_9_UK!K28))),AND(SUM(Table_9_UK!H32)=0,NOT(ISBLANK(Table_9_UK!K32))),AND(SUM(Table_9_UK!H36)=0,NOT(ISBLANK(Table_9_UK!K36))),AND(SUM(Table_9_UK!H37)=0,NOT(ISBLANK(Table_9_UK!K37))),AND(SUM(Table_9_UK!H38)=0,NOT(ISBLANK(Table_9_UK!K38))),AND(SUM(Table_9_UK!H39)=0,NOT(ISBLANK(Table_9_UK!K39))),AND(SUM(Table_9_UK!H44)=0,NOT(ISBLANK(Table_9_UK!K44))),AND(SUM(Table_9_UK!H45)=0,NOT(ISBLANK(Table_9_UK!K45))),AND(SUM(Table_9_UK!H46)=0,NOT(ISBLANK(Table_9_UK!K46))),AND(SUM(Table_9_UK!H47)=0,NOT(ISBLANK(Table_9_UK!K47))),AND(SUM(Table_9_UK!H49)=0,NOT(ISBLANK(Table_9_UK!K49))),AND(SUM(Table_9_UK!H53)=0,NOT(ISBLANK(Table_9_UK!K53))),AND(SUM(Table_9_UK!H54)=0,NOT(ISBLANK(Table_9_UK!K54)))), J170,"")</f>
        <v/>
      </c>
      <c r="J170" s="280" t="str">
        <f>CONCATENATE(Table_9_UK!T6,Table_9_UK!T7,Table_9_UK!T8,Table_9_UK!T9,Table_9_UK!T10,Table_9_UK!T11,Table_9_UK!T15,Table_9_UK!T16,Table_9_UK!T17,Table_9_UK!T18,Table_9_UK!T19,Table_9_UK!T24,Table_9_UK!T26,Table_9_UK!T27,Table_9_UK!T28,Table_9_UK!T32,Table_9_UK!T36,Table_9_UK!T37,Table_9_UK!T38,Table_9_UK!T39,Table_9_UK!T44,Table_9_UK!T45,Table_9_UK!T46,Table_9_UK!T47,Table_9_UK!T49,Table_9_UK!T53,Table_9_UK!T54)</f>
        <v/>
      </c>
      <c r="K170" s="207">
        <f t="shared" si="8"/>
        <v>0</v>
      </c>
      <c r="L170" s="207">
        <f t="shared" si="9"/>
        <v>0</v>
      </c>
    </row>
    <row r="171" spans="1:12" customFormat="1" ht="30" customHeight="1" x14ac:dyDescent="0.25">
      <c r="A171" s="170" t="s">
        <v>655</v>
      </c>
      <c r="B171" s="693" t="s">
        <v>656</v>
      </c>
      <c r="C171" s="693"/>
      <c r="D171" s="693"/>
      <c r="E171" s="694" t="str">
        <f>Table_9_UK!$A$1&amp;" Head "&amp;Table_9_UK!A6&amp;", "&amp;Table_9_UK!A7&amp;", "&amp;Table_9_UK!A8&amp;", "&amp;Table_9_UK!A9&amp;", "&amp;Table_9_UK!A10&amp;", "&amp;Table_9_UK!A11&amp;", "&amp;Table_9_UK!A15&amp;", "&amp;Table_9_UK!A16&amp;", "&amp;Table_9_UK!A17&amp;", "&amp;Table_9_UK!A18&amp;", "&amp;Table_9_UK!A19&amp;", "&amp;Table_9_UK!A24&amp;", "&amp;Table_9_UK!A26&amp;", "&amp;Table_9_UK!A27&amp;", "&amp;Table_9_UK!A28&amp;", "&amp;Table_9_UK!A32&amp;", "&amp;Table_9_UK!A36&amp;", "&amp;Table_9_UK!A37&amp;", "&amp;Table_9_UK!A38&amp;", "&amp;Table_9_UK!A39&amp;", "&amp;Table_9_UK!A44&amp;", "&amp;Table_9_UK!A45&amp;", "&amp;Table_9_UK!A46&amp;", "&amp;Table_9_UK!A47&amp;", "&amp;Table_9_UK!A49&amp;", "&amp;Table_9_UK!A53&amp;", "&amp;Table_9_UK!A54</f>
        <v>Table 9: Head 1a, 1b, 1c, 1d, 1e, 1f, 2a, 2b, 2c, 2d, 2e, 4, 6, 7, 8, 10, 12, 13, 14, 15, 17a, 17b, 17c, 17d, 17f, 18a, 18b</v>
      </c>
      <c r="F171" s="694"/>
      <c r="G171" s="271" t="s">
        <v>366</v>
      </c>
      <c r="H171" s="276" t="str">
        <f>IF(OR(AND(SUM(Table_9_UK!I6)&lt;&gt;0,ISBLANK(Table_9_UK!L6)),AND(SUM(Table_9_UK!I7)&lt;&gt;0,ISBLANK(Table_9_UK!L7)),AND(SUM(Table_9_UK!I8)&lt;&gt;0,ISBLANK(Table_9_UK!L8)),AND(SUM(Table_9_UK!I9)&lt;&gt;0,ISBLANK(Table_9_UK!L9)),AND(SUM(Table_9_UK!I10)&lt;&gt;0,ISBLANK(Table_9_UK!L10)),AND(SUM(Table_9_UK!I11)&lt;&gt;0,ISBLANK(Table_9_UK!L11)),AND(SUM(Table_9_UK!I15)&lt;&gt;0,ISBLANK(Table_9_UK!L15)),AND(SUM(Table_9_UK!I16)&lt;&gt;0,ISBLANK(Table_9_UK!L16)),AND(SUM(Table_9_UK!I17)&lt;&gt;0,ISBLANK(Table_9_UK!L17)),AND(SUM(Table_9_UK!I18)&lt;&gt;0,ISBLANK(Table_9_UK!L18)),AND(SUM(Table_9_UK!I19)&lt;&gt;0,ISBLANK(Table_9_UK!L19)),AND(SUM(Table_9_UK!I24)&lt;&gt;0,ISBLANK(Table_9_UK!L24)),AND(SUM(Table_9_UK!I26)&lt;&gt;0,ISBLANK(Table_9_UK!L26)),AND(SUM(Table_9_UK!I27)&lt;&gt;0,ISBLANK(Table_9_UK!L27)),AND(SUM(Table_9_UK!I28)&lt;&gt;0,ISBLANK(Table_9_UK!L28)),AND(SUM(Table_9_UK!I32)&lt;&gt;0,ISBLANK(Table_9_UK!L32)),AND(SUM(Table_9_UK!I36)&lt;&gt;0,ISBLANK(Table_9_UK!L36)),AND(SUM(Table_9_UK!I37)&lt;&gt;0,ISBLANK(Table_9_UK!L37)),AND(SUM(Table_9_UK!I38)&lt;&gt;0,ISBLANK(Table_9_UK!L38)),AND(SUM(Table_9_UK!I39)&lt;&gt;0,ISBLANK(Table_9_UK!L39)),AND(SUM(Table_9_UK!I44)&lt;&gt;0,ISBLANK(Table_9_UK!L44)),AND(SUM(Table_9_UK!I45)&lt;&gt;0,ISBLANK(Table_9_UK!L45)),AND(SUM(Table_9_UK!I46)&lt;&gt;0,ISBLANK(Table_9_UK!L46)),AND(SUM(Table_9_UK!I47)&lt;&gt;0,ISBLANK(Table_9_UK!L47)),AND(SUM(Table_9_UK!I49)&lt;&gt;0,ISBLANK(Table_9_UK!L49)),AND(SUM(Table_9_UK!I53)&lt;&gt;0,ISBLANK(Table_9_UK!L53)),AND(SUM(Table_9_UK!I54)&lt;&gt;0,ISBLANK(Table_9_UK!L54))),"FAIL","PASS")</f>
        <v>PASS</v>
      </c>
      <c r="I171" s="278" t="str">
        <f>IF(OR(AND(SUM(Table_9_UK!I6)&lt;&gt;0,ISBLANK(Table_9_UK!L6)),AND(SUM(Table_9_UK!I7)&lt;&gt;0,ISBLANK(Table_9_UK!L7)),AND(SUM(Table_9_UK!I8)&lt;&gt;0,ISBLANK(Table_9_UK!L8)),AND(SUM(Table_9_UK!I9)&lt;&gt;0,ISBLANK(Table_9_UK!L9)),AND(SUM(Table_9_UK!I10)&lt;&gt;0,ISBLANK(Table_9_UK!L10)),AND(SUM(Table_9_UK!I11)&lt;&gt;0,ISBLANK(Table_9_UK!L11)),AND(SUM(Table_9_UK!I15)&lt;&gt;0,ISBLANK(Table_9_UK!L15)),AND(SUM(Table_9_UK!I16)&lt;&gt;0,ISBLANK(Table_9_UK!L16)),AND(SUM(Table_9_UK!I17)&lt;&gt;0,ISBLANK(Table_9_UK!L17)),AND(SUM(Table_9_UK!I18)&lt;&gt;0,ISBLANK(Table_9_UK!L18)),AND(SUM(Table_9_UK!I19)&lt;&gt;0,ISBLANK(Table_9_UK!L19)),AND(SUM(Table_9_UK!I24)&lt;&gt;0,ISBLANK(Table_9_UK!L24)),AND(SUM(Table_9_UK!I26)&lt;&gt;0,ISBLANK(Table_9_UK!L26)),AND(SUM(Table_9_UK!I27)&lt;&gt;0,ISBLANK(Table_9_UK!L27)),AND(SUM(Table_9_UK!I28)&lt;&gt;0,ISBLANK(Table_9_UK!L28)),AND(SUM(Table_9_UK!I32)&lt;&gt;0,ISBLANK(Table_9_UK!L32)),AND(SUM(Table_9_UK!I36)&lt;&gt;0,ISBLANK(Table_9_UK!L36)),AND(SUM(Table_9_UK!I37)&lt;&gt;0,ISBLANK(Table_9_UK!L37)),AND(SUM(Table_9_UK!I38)&lt;&gt;0,ISBLANK(Table_9_UK!L38)),AND(SUM(Table_9_UK!I39)&lt;&gt;0,ISBLANK(Table_9_UK!L39)),AND(SUM(Table_9_UK!I44)&lt;&gt;0,ISBLANK(Table_9_UK!L44)),AND(SUM(Table_9_UK!I45)&lt;&gt;0,ISBLANK(Table_9_UK!L45)),AND(SUM(Table_9_UK!I46)&lt;&gt;0,ISBLANK(Table_9_UK!L46)),AND(SUM(Table_9_UK!I47)&lt;&gt;0,ISBLANK(Table_9_UK!L47)),AND(SUM(Table_9_UK!I49)&lt;&gt;0,ISBLANK(Table_9_UK!L49)),AND(SUM(Table_9_UK!I53)&lt;&gt;0,ISBLANK(Table_9_UK!L53)),AND(SUM(Table_9_UK!I54)&lt;&gt;0,ISBLANK(Table_9_UK!L54))),J171,"")</f>
        <v/>
      </c>
      <c r="J171" s="280" t="str">
        <f>CONCATENATE(Table_9_UK!W6,Table_9_UK!W7,Table_9_UK!W8,Table_9_UK!W9,Table_9_UK!W10,Table_9_UK!W11,Table_9_UK!W15,Table_9_UK!W16,Table_9_UK!W17,Table_9_UK!W18,Table_9_UK!W19,Table_9_UK!W24,Table_9_UK!W26,Table_9_UK!W27,Table_9_UK!W28,Table_9_UK!W32,Table_9_UK!W36,Table_9_UK!W37,Table_9_UK!W38,Table_9_UK!W39,Table_9_UK!W44,Table_9_UK!W45,Table_9_UK!W46,Table_9_UK!W47,Table_9_UK!W49,Table_9_UK!W53,Table_9_UK!W54)</f>
        <v/>
      </c>
      <c r="K171" s="207">
        <f t="shared" si="8"/>
        <v>0</v>
      </c>
      <c r="L171" s="207">
        <f t="shared" si="9"/>
        <v>0</v>
      </c>
    </row>
    <row r="172" spans="1:12" customFormat="1" ht="30.95" customHeight="1" x14ac:dyDescent="0.25">
      <c r="A172" s="177" t="s">
        <v>657</v>
      </c>
      <c r="B172" s="693" t="s">
        <v>658</v>
      </c>
      <c r="C172" s="693"/>
      <c r="D172" s="693"/>
      <c r="E172" s="694" t="str">
        <f>Table_9_UK!$A$1&amp;" Head "&amp;Table_9_UK!A6&amp;", "&amp;Table_9_UK!A7&amp;", "&amp;Table_9_UK!A8&amp;", "&amp;Table_9_UK!A9&amp;", "&amp;Table_9_UK!A10&amp;", "&amp;Table_9_UK!A11&amp;", "&amp;Table_9_UK!A15&amp;", "&amp;Table_9_UK!A16&amp;", "&amp;Table_9_UK!A17&amp;", "&amp;Table_9_UK!A18&amp;", "&amp;Table_9_UK!A19&amp;", "&amp;Table_9_UK!A24&amp;", "&amp;Table_9_UK!A26&amp;", "&amp;Table_9_UK!A27&amp;", "&amp;Table_9_UK!A28&amp;", "&amp;Table_9_UK!A32&amp;", "&amp;Table_9_UK!A36&amp;", "&amp;Table_9_UK!A37&amp;", "&amp;Table_9_UK!A38&amp;", "&amp;Table_9_UK!A39&amp;", "&amp;Table_9_UK!A44&amp;", "&amp;Table_9_UK!A45&amp;", "&amp;Table_9_UK!A46&amp;", "&amp;Table_9_UK!A47&amp;", "&amp;Table_9_UK!A49&amp;", "&amp;Table_9_UK!A53&amp;", "&amp;Table_9_UK!A54</f>
        <v>Table 9: Head 1a, 1b, 1c, 1d, 1e, 1f, 2a, 2b, 2c, 2d, 2e, 4, 6, 7, 8, 10, 12, 13, 14, 15, 17a, 17b, 17c, 17d, 17f, 18a, 18b</v>
      </c>
      <c r="F172" s="694"/>
      <c r="G172" s="271" t="s">
        <v>366</v>
      </c>
      <c r="H172" s="276" t="str">
        <f>IF(OR(AND(SUM(Table_9_UK!I6)=0,NOT(ISBLANK(Table_9_UK!L6))),AND(SUM(Table_9_UK!I7)=0,NOT(ISBLANK(Table_9_UK!L7))),AND(SUM(Table_9_UK!I8)=0,NOT(ISBLANK(Table_9_UK!L8))),AND(SUM(Table_9_UK!I9)=0,NOT(ISBLANK(Table_9_UK!L9))),AND(SUM(Table_9_UK!I10)=0,NOT(ISBLANK(Table_9_UK!L10))),AND(SUM(Table_9_UK!I11)=0,NOT(ISBLANK(Table_9_UK!L11))),AND(SUM(Table_9_UK!I15)=0,NOT(ISBLANK(Table_9_UK!L15))),AND(SUM(Table_9_UK!I16)=0,NOT(ISBLANK(Table_9_UK!L16))),AND(SUM(Table_9_UK!I17)=0,NOT(ISBLANK(Table_9_UK!L17))),AND(SUM(Table_9_UK!I18)=0,NOT(ISBLANK(Table_9_UK!L18))),AND(SUM(Table_9_UK!I19)=0,NOT(ISBLANK(Table_9_UK!L19))),AND(SUM(Table_9_UK!I24)=0,NOT(ISBLANK(Table_9_UK!L24))),AND(SUM(Table_9_UK!I26)=0,NOT(ISBLANK(Table_9_UK!L26))),AND(SUM(Table_9_UK!I27)=0,NOT(ISBLANK(Table_9_UK!L27))),AND(SUM(Table_9_UK!I28)=0,NOT(ISBLANK(Table_9_UK!L28))),AND(SUM(Table_9_UK!I32)=0,NOT(ISBLANK(Table_9_UK!L32))),AND(SUM(Table_9_UK!I36)=0,NOT(ISBLANK(Table_9_UK!L36))),AND(SUM(Table_9_UK!I37)=0,NOT(ISBLANK(Table_9_UK!L37))),AND(SUM(Table_9_UK!I38)=0,NOT(ISBLANK(Table_9_UK!L38))),AND(SUM(Table_9_UK!I39)=0,NOT(ISBLANK(Table_9_UK!L39))),AND(SUM(Table_9_UK!I44)=0,NOT(ISBLANK(Table_9_UK!L44))),AND(SUM(Table_9_UK!I45)=0,NOT(ISBLANK(Table_9_UK!L45))),AND(SUM(Table_9_UK!I46)=0,NOT(ISBLANK(Table_9_UK!L46))),AND(SUM(Table_9_UK!I47)=0,NOT(ISBLANK(Table_9_UK!L47))),AND(SUM(Table_9_UK!I49)=0,NOT(ISBLANK(Table_9_UK!L49))),AND(SUM(Table_9_UK!I53)=0,NOT(ISBLANK(Table_9_UK!L53))),AND(SUM(Table_9_UK!I54)=0,NOT(ISBLANK(Table_9_UK!L54)))), "FAIL","PASS")</f>
        <v>PASS</v>
      </c>
      <c r="I172" s="278" t="str">
        <f>IF(OR(AND(SUM(Table_9_UK!I6)=0,NOT(ISBLANK(Table_9_UK!L6))),AND(SUM(Table_9_UK!I7)=0,NOT(ISBLANK(Table_9_UK!L7))),AND(SUM(Table_9_UK!I8)=0,NOT(ISBLANK(Table_9_UK!L8))),AND(SUM(Table_9_UK!I9)=0,NOT(ISBLANK(Table_9_UK!L9))),AND(SUM(Table_9_UK!I10)=0,NOT(ISBLANK(Table_9_UK!L10))),AND(SUM(Table_9_UK!I11)=0,NOT(ISBLANK(Table_9_UK!L11))),AND(SUM(Table_9_UK!I15)=0,NOT(ISBLANK(Table_9_UK!L15))),AND(SUM(Table_9_UK!I16)=0,NOT(ISBLANK(Table_9_UK!L16))),AND(SUM(Table_9_UK!I17)=0,NOT(ISBLANK(Table_9_UK!L17))),AND(SUM(Table_9_UK!I18)=0,NOT(ISBLANK(Table_9_UK!L18))),AND(SUM(Table_9_UK!I19)=0,NOT(ISBLANK(Table_9_UK!L19))),AND(SUM(Table_9_UK!I24)=0,NOT(ISBLANK(Table_9_UK!L24))),AND(SUM(Table_9_UK!I26)=0,NOT(ISBLANK(Table_9_UK!L26))),AND(SUM(Table_9_UK!I27)=0,NOT(ISBLANK(Table_9_UK!L27))),AND(SUM(Table_9_UK!I28)=0,NOT(ISBLANK(Table_9_UK!L28))),AND(SUM(Table_9_UK!I32)=0,NOT(ISBLANK(Table_9_UK!L32))),AND(SUM(Table_9_UK!I36)=0,NOT(ISBLANK(Table_9_UK!L36))),AND(SUM(Table_9_UK!I37)=0,NOT(ISBLANK(Table_9_UK!L37))),AND(SUM(Table_9_UK!I38)=0,NOT(ISBLANK(Table_9_UK!L38))),AND(SUM(Table_9_UK!I39)=0,NOT(ISBLANK(Table_9_UK!L39))),AND(SUM(Table_9_UK!I44)=0,NOT(ISBLANK(Table_9_UK!L44))),AND(SUM(Table_9_UK!I45)=0,NOT(ISBLANK(Table_9_UK!L45))),AND(SUM(Table_9_UK!I46)=0,NOT(ISBLANK(Table_9_UK!L46))),AND(SUM(Table_9_UK!I47)=0,NOT(ISBLANK(Table_9_UK!L47))),AND(SUM(Table_9_UK!I49)=0,NOT(ISBLANK(Table_9_UK!L49))),AND(SUM(Table_9_UK!I53)=0,NOT(ISBLANK(Table_9_UK!L53))),AND(SUM(Table_9_UK!I54)=0,NOT(ISBLANK(Table_9_UK!L54)))), J172,"")</f>
        <v/>
      </c>
      <c r="J172" s="280" t="str">
        <f>CONCATENATE(Table_9_UK!Z6,Table_9_UK!Z7,Table_9_UK!Z8,Table_9_UK!Z9,Table_9_UK!Z10,Table_9_UK!Z11,Table_9_UK!Z15,Table_9_UK!Z16,Table_9_UK!Z17,Table_9_UK!Z18,Table_9_UK!Z19,Table_9_UK!Z24,Table_9_UK!Z26,Table_9_UK!Z27,Table_9_UK!Z28,Table_9_UK!Z32,Table_9_UK!Z36,Table_9_UK!Z37,Table_9_UK!Z38,Table_9_UK!Z39,Table_9_UK!Z44,Table_9_UK!Z45,Table_9_UK!Z46,Table_9_UK!Z47,Table_9_UK!Z49,Table_9_UK!Z53,Table_9_UK!Z54)</f>
        <v/>
      </c>
      <c r="K172" s="207">
        <f t="shared" si="8"/>
        <v>0</v>
      </c>
      <c r="L172" s="207">
        <f t="shared" si="9"/>
        <v>0</v>
      </c>
    </row>
    <row r="173" spans="1:12" customFormat="1" ht="47.25" customHeight="1" x14ac:dyDescent="0.25">
      <c r="A173" s="170" t="s">
        <v>659</v>
      </c>
      <c r="B173" s="693" t="s">
        <v>660</v>
      </c>
      <c r="C173" s="693"/>
      <c r="D173" s="693"/>
      <c r="E173" s="694" t="str">
        <f>Table_9_UK!$A$1&amp;" Head "&amp;Table_9_UK!A6&amp;", "&amp;Table_9_UK!A7&amp;", "&amp;Table_9_UK!A8&amp;", "&amp;Table_9_UK!A9&amp;", "&amp;Table_9_UK!A10&amp;", "&amp;Table_9_UK!A11&amp;", "&amp;Table_9_UK!A15&amp;", "&amp;Table_9_UK!A16&amp;", "&amp;Table_9_UK!A17&amp;", "&amp;Table_9_UK!A18&amp;", "&amp;Table_9_UK!A19&amp;", "&amp;Table_9_UK!A24&amp;", "&amp;Table_9_UK!A26&amp;", "&amp;Table_9_UK!A27&amp;", "&amp;Table_9_UK!A28&amp;", "&amp;Table_9_UK!A32&amp;", "&amp;Table_9_UK!A36&amp;", "&amp;Table_9_UK!A37&amp;", "&amp;Table_9_UK!A38&amp;", "&amp;Table_9_UK!A39&amp;", "&amp;Table_9_UK!A44&amp;", "&amp;Table_9_UK!A45&amp;", "&amp;Table_9_UK!A46&amp;", "&amp;Table_9_UK!A47&amp;", "&amp;Table_9_UK!A49&amp;", "&amp;Table_9_UK!A53&amp;", "&amp;Table_9_UK!A54</f>
        <v>Table 9: Head 1a, 1b, 1c, 1d, 1e, 1f, 2a, 2b, 2c, 2d, 2e, 4, 6, 7, 8, 10, 12, 13, 14, 15, 17a, 17b, 17c, 17d, 17f, 18a, 18b</v>
      </c>
      <c r="F173" s="694"/>
      <c r="G173" s="271" t="s">
        <v>366</v>
      </c>
      <c r="H173" s="276" t="str">
        <f>IF(OR(AND(Table_9_UK!I6&lt;&gt;Table_9_UK!J6),AND(Table_9_UK!I7&lt;&gt;Table_9_UK!J7),AND(Table_9_UK!I8&lt;&gt;Table_9_UK!J8),AND(Table_9_UK!I9&lt;&gt;Table_9_UK!J9),AND(Table_9_UK!I10&lt;&gt;Table_9_UK!J10),AND(Table_9_UK!I11&lt;&gt;Table_9_UK!J11),AND(Table_9_UK!I15&lt;&gt;Table_9_UK!J15),AND(Table_9_UK!I16&lt;&gt;Table_9_UK!J16),AND(Table_9_UK!I17&lt;&gt;Table_9_UK!J17),AND(Table_9_UK!I18&lt;&gt;Table_9_UK!J18),AND(Table_9_UK!I19&lt;&gt;Table_9_UK!J19),AND(Table_9_UK!I24&lt;&gt;Table_9_UK!J24),AND(Table_9_UK!I26&lt;&gt;Table_9_UK!J26),AND(Table_9_UK!I27&lt;&gt;Table_9_UK!J27),AND(Table_9_UK!I28&lt;&gt;Table_9_UK!J28),AND(Table_9_UK!I32&lt;&gt;Table_9_UK!J32),AND(Table_9_UK!I36&lt;&gt;Table_9_UK!J36),AND(Table_9_UK!I37&lt;&gt;Table_9_UK!J37),AND(Table_9_UK!I38&lt;&gt;Table_9_UK!J38),AND(Table_9_UK!I39&lt;&gt;Table_9_UK!J39),AND(Table_9_UK!I44&lt;&gt;Table_9_UK!J44),AND(Table_9_UK!I45&lt;&gt;Table_9_UK!J45),AND(Table_9_UK!I46&lt;&gt;Table_9_UK!J46),AND(Table_9_UK!I47&lt;&gt;Table_9_UK!J47),AND(Table_9_UK!I49&lt;&gt;Table_9_UK!J49),AND(Table_9_UK!I53&lt;&gt;Table_9_UK!J53),AND(Table_9_UK!I54&lt;&gt;Table_9_UK!J54)),"FAIL","PASS")</f>
        <v>PASS</v>
      </c>
      <c r="I173" s="278" t="str">
        <f>IF(Table_9_UK!N1="FAIL",CONCATENATE(Table_9_UK!N5," ",Table_9_UK!N6,Table_9_UK!N7,Table_9_UK!N8,Table_9_UK!N9,Table_9_UK!N10,Table_9_UK!N11,Table_9_UK!N15,Table_9_UK!N16,Table_9_UK!N17,Table_9_UK!N18,Table_9_UK!N19,Table_9_UK!N24,Table_9_UK!N26,Table_9_UK!N27,Table_9_UK!N28,Table_9_UK!N32,Table_9_UK!N36,Table_9_UK!N37,Table_9_UK!N38,Table_9_UK!N39,Table_9_UK!N44,Table_9_UK!N45,Table_9_UK!N46,Table_9_UK!N47,Table_9_UK!N49,Table_9_UK!N53,Table_9_UK!N54),"")</f>
        <v/>
      </c>
      <c r="J173" s="277" t="str">
        <f>Table_9_UK!I6&amp;", "&amp;Table_9_UK!I7&amp;", "&amp;Table_9_UK!I8&amp;", "&amp;Table_9_UK!I9&amp;", "&amp;Table_9_UK!I10&amp;", "&amp;Table_9_UK!I11&amp;", "&amp;Table_9_UK!I15&amp;", "&amp;Table_9_UK!I6&amp;", "&amp;Table_9_UK!I17&amp;", "&amp;Table_9_UK!I18&amp;", "&amp;Table_9_UK!I19&amp;", "&amp;Table_9_UK!I24&amp;", "&amp;Table_9_UK!I26&amp;", "&amp;Table_9_UK!I27&amp;", "&amp;Table_9_UK!I28&amp;", "&amp;Table_9_UK!I32&amp;", "&amp;Table_9_UK!I36&amp;", "&amp;Table_9_UK!I37&amp;", "&amp;Table_9_UK!I38&amp;", "&amp;Table_9_UK!I39&amp;", "&amp;Table_9_UK!I44&amp;", "&amp;Table_9_UK!I45&amp;", "&amp;Table_9_UK!I46&amp;", "&amp;Table_9_UK!I47&amp;", "&amp;Table_9_UK!I49&amp;", "&amp;Table_9_UK!I53&amp;", "&amp;Table_9_UK!I54</f>
        <v>0, 0, 0, 0, 0, 0, 195209, 0, 0, 0, 13784, 0, 0, 0, 0, 0, 0, 0, 0, 0, 0, 0, 0, 0, 0, 0, 0</v>
      </c>
      <c r="K173" s="207">
        <f t="shared" si="8"/>
        <v>0</v>
      </c>
      <c r="L173" s="207">
        <f t="shared" si="9"/>
        <v>0</v>
      </c>
    </row>
    <row r="174" spans="1:12" customFormat="1" ht="15.6" customHeight="1" x14ac:dyDescent="0.25">
      <c r="A174" s="177" t="s">
        <v>661</v>
      </c>
      <c r="B174" s="693" t="s">
        <v>662</v>
      </c>
      <c r="C174" s="693"/>
      <c r="D174" s="693"/>
      <c r="E174" s="694" t="str">
        <f>Table_10_UK!$A$1&amp;" Head "&amp;Table_10_UK!A7&amp;", "&amp;Table_10_UK!A45</f>
        <v>Table 10: Head 1b, 6</v>
      </c>
      <c r="F174" s="694"/>
      <c r="G174" s="271" t="s">
        <v>366</v>
      </c>
      <c r="H174" s="276" t="str">
        <f>IF(OR(AND(SUM(Table_10_UK!H45)&lt;&gt;0,(ISBLANK(Table_10_UK!H7))),AND(SUM(Table_10_UK!I45)&lt;&gt;0,(ISBLANK(Table_10_UK!H7))),AND(SUM(Table_10_UK!J45)&lt;&gt;0,(ISBLANK(Table_10_UK!J7))),AND(SUM(Table_10_UK!K45)&lt;&gt;0,(ISBLANK(Table_10_UK!J7))),AND(SUM(Table_10_UK!L45)&lt;&gt;0,(ISBLANK(Table_10_UK!L7))),AND(SUM(Table_10_UK!M45)&lt;&gt;0,(ISBLANK(Table_10_UK!L7))),AND(SUM(Table_10_UK!N45)&lt;&gt;0,(ISBLANK(Table_10_UK!N7))),AND(SUM(Table_10_UK!O45)&lt;&gt;0,(ISBLANK(Table_10_UK!N7)))),"FAIL","PASS")</f>
        <v>PASS</v>
      </c>
      <c r="I174" s="272" t="str">
        <f>IF(OR(AND(SUM(Table_10_UK!H45)&lt;&gt;0,(ISBLANK(Table_10_UK!H7))),AND(SUM(Table_10_UK!I45)&lt;&gt;0,(ISBLANK(Table_10_UK!H7))),AND(SUM(Table_10_UK!J45)&lt;&gt;0,(ISBLANK(Table_10_UK!J7))),AND(SUM(Table_10_UK!K45)&lt;&gt;0,(ISBLANK(Table_10_UK!J7))),AND(SUM(Table_10_UK!L45)&lt;&gt;0,(ISBLANK(Table_10_UK!L7))),AND(SUM(Table_10_UK!M45)&lt;&gt;0,(ISBLANK(Table_10_UK!L7))),AND(SUM(Table_10_UK!N45)&lt;&gt;0,(ISBLANK(Table_10_UK!N7))),AND(SUM(Table_10_UK!O45)&lt;&gt;0,(ISBLANK(Table_10_UK!N7)))),"Head "&amp;Table_10_UK!A45&amp;" ("&amp;Table_10_UK!H45&amp;", "&amp;Table_10_UK!I45&amp;", "&amp;Table_10_UK!J45&amp;", "&amp;Table_10_UK!K45&amp;", "&amp;Table_10_UK!L45&amp;", "&amp;Table_10_UK!M45&amp;", "&amp;Table_10_UK!N45&amp;", "&amp;Table_10_UK!O45&amp;")","")</f>
        <v/>
      </c>
      <c r="J174" s="280" t="str">
        <f>Table_10_UK!H45&amp;", "&amp;Table_10_UK!I45&amp;", "&amp;Table_10_UK!J45&amp;", "&amp;Table_10_UK!K45&amp;", "&amp;Table_10_UK!L45&amp;", "&amp;Table_10_UK!M45&amp;", "&amp;Table_10_UK!N45&amp;", "&amp;Table_10_UK!O45</f>
        <v>407, 403, 0, 0, 0, 0, 0, 0</v>
      </c>
      <c r="K174" s="207">
        <f t="shared" si="8"/>
        <v>0</v>
      </c>
      <c r="L174" s="207">
        <f t="shared" si="9"/>
        <v>0</v>
      </c>
    </row>
    <row r="175" spans="1:12" customFormat="1" ht="15.6" customHeight="1" x14ac:dyDescent="0.25">
      <c r="A175" s="177" t="s">
        <v>663</v>
      </c>
      <c r="B175" s="693" t="s">
        <v>664</v>
      </c>
      <c r="C175" s="693"/>
      <c r="D175" s="693"/>
      <c r="E175" s="694" t="str">
        <f>Table_10_UK!$A$1&amp;" Head "&amp;Table_10_UK!A8&amp;", "&amp;Table_10_UK!A45</f>
        <v>Table 10: Head 1c, 6</v>
      </c>
      <c r="F175" s="694"/>
      <c r="G175" s="271" t="s">
        <v>366</v>
      </c>
      <c r="H175" s="276" t="str">
        <f>IF(OR(AND(SUM(Table_10_UK!J45)&lt;&gt;0,(ISBLANK(Table_10_UK!J8))),AND(SUM(Table_10_UK!K45)&lt;&gt;0,(ISBLANK(Table_10_UK!J8))),AND(SUM(Table_10_UK!L45)&lt;&gt;0,(ISBLANK(Table_10_UK!L8))),AND(SUM(Table_10_UK!M45)&lt;&gt;0,(ISBLANK(Table_10_UK!L8))),AND(SUM(Table_10_UK!N45)&lt;&gt;0,(ISBLANK(Table_10_UK!N8))),AND(SUM(Table_10_UK!O45)&lt;&gt;0,(ISBLANK(Table_10_UK!N8)))),"FAIL","PASS")</f>
        <v>PASS</v>
      </c>
      <c r="I175" s="272" t="str">
        <f>IF(OR(AND(SUM(Table_10_UK!J45)&lt;&gt;0,(ISBLANK(Table_10_UK!J8))),AND(SUM(Table_10_UK!K45)&lt;&gt;0,(ISBLANK(Table_10_UK!J8))),AND(SUM(Table_10_UK!L45)&lt;&gt;0,(ISBLANK(Table_10_UK!L8))),AND(SUM(Table_10_UK!M45)&lt;&gt;0,(ISBLANK(Table_10_UK!L8))),AND(SUM(Table_10_UK!N45)&lt;&gt;0,(ISBLANK(Table_10_UK!N8))),AND(SUM(Table_10_UK!O45)&lt;&gt;0,(ISBLANK(Table_10_UK!N8)))),"Head "&amp;Table_10_UK!A45&amp;" ("&amp;Table_10_UK!J45&amp;", "&amp;Table_10_UK!K45&amp;", "&amp;Table_10_UK!L45&amp;", "&amp;Table_10_UK!M45&amp;", "&amp;Table_10_UK!N45&amp;", "&amp;Table_10_UK!O45&amp;")","")</f>
        <v/>
      </c>
      <c r="J175" s="280" t="str">
        <f>Table_10_UK!J45&amp;", "&amp;Table_10_UK!K45&amp;", "&amp;Table_10_UK!L45&amp;", "&amp;Table_10_UK!M45&amp;", "&amp;Table_10_UK!N45&amp;", "&amp;Table_10_UK!O45</f>
        <v>0, 0, 0, 0, 0, 0</v>
      </c>
      <c r="K175" s="207">
        <f t="shared" si="8"/>
        <v>0</v>
      </c>
      <c r="L175" s="207">
        <f t="shared" si="9"/>
        <v>0</v>
      </c>
    </row>
    <row r="176" spans="1:12" customFormat="1" ht="15.6" customHeight="1" x14ac:dyDescent="0.25">
      <c r="A176" s="177" t="s">
        <v>665</v>
      </c>
      <c r="B176" s="693" t="s">
        <v>666</v>
      </c>
      <c r="C176" s="693"/>
      <c r="D176" s="693"/>
      <c r="E176" s="694" t="str">
        <f>Table_10_UK!$A$1&amp;" Head "&amp;Table_10_UK!A8</f>
        <v>Table 10: Head 1c</v>
      </c>
      <c r="F176" s="694"/>
      <c r="G176" s="271" t="s">
        <v>366</v>
      </c>
      <c r="H176" s="276" t="str">
        <f>IF(OR(Table_10_UK!H8&gt;=DATEVALUE("2020-07-31"),ISBLANK(Table_10_UK!H8)),"PASS","FAIL")</f>
        <v>PASS</v>
      </c>
      <c r="I176" s="272" t="str">
        <f>IF(OR(Table_10_UK!H8&gt;=DATEVALUE("2020-07-31"),ISBLANK(Table_10_UK!H8)),"","Head "&amp;Table_10_UK!A8&amp;" ("&amp;Table_10_UK!T8&amp;")")</f>
        <v/>
      </c>
      <c r="J176" s="273"/>
      <c r="K176" s="207">
        <f t="shared" si="8"/>
        <v>0</v>
      </c>
      <c r="L176" s="207">
        <f t="shared" si="9"/>
        <v>0</v>
      </c>
    </row>
    <row r="177" spans="1:12" customFormat="1" ht="15.6" customHeight="1" x14ac:dyDescent="0.25">
      <c r="A177" s="177" t="s">
        <v>667</v>
      </c>
      <c r="B177" s="693" t="s">
        <v>668</v>
      </c>
      <c r="C177" s="693"/>
      <c r="D177" s="693"/>
      <c r="E177" s="694" t="str">
        <f>Table_10_UK!$A$1&amp;" Head "&amp;Table_10_UK!A13&amp;Table_10_UK!A14</f>
        <v>Table 10: Head 2bi</v>
      </c>
      <c r="F177" s="694"/>
      <c r="G177" s="271" t="s">
        <v>366</v>
      </c>
      <c r="H177" s="276" t="str">
        <f>IF(Table_10_UK!H14&gt;0,"PASS","FAIL")</f>
        <v>PASS</v>
      </c>
      <c r="I177" s="272" t="str">
        <f>IF(Table_10_UK!H14&gt;0,"","Head "&amp;Table_10_UK!A13&amp;Table_10_UK!A14&amp;" ("&amp;J177&amp;")")</f>
        <v/>
      </c>
      <c r="J177" s="277">
        <f>Table_10_UK!H14</f>
        <v>342</v>
      </c>
      <c r="K177" s="207">
        <f t="shared" si="8"/>
        <v>0</v>
      </c>
      <c r="L177" s="207">
        <f t="shared" si="9"/>
        <v>0</v>
      </c>
    </row>
    <row r="178" spans="1:12" customFormat="1" ht="15.6" customHeight="1" x14ac:dyDescent="0.25">
      <c r="A178" s="177" t="s">
        <v>669</v>
      </c>
      <c r="B178" s="693" t="s">
        <v>670</v>
      </c>
      <c r="C178" s="693"/>
      <c r="D178" s="693"/>
      <c r="E178" s="694" t="str">
        <f>Table_10_UK!$A$1&amp;" Head "&amp;Table_10_UK!A7&amp;", "&amp;Table_10_UK!A45</f>
        <v>Table 10: Head 1b, 6</v>
      </c>
      <c r="F178" s="694"/>
      <c r="G178" s="271" t="s">
        <v>366</v>
      </c>
      <c r="H178" s="276" t="str">
        <f>IF(AND(Table_10_UK!H7&gt;DATEVALUE("2019-07-31"),Table_10_UK!I45&lt;&gt;0),"FAIL",IF(AND(ISBLANK(Table_10_UK!H7),Table_10_UK!I45&lt;&gt;0),"FAIL",IF(AND(Table_10_UK!J7&gt;DATEVALUE("2019-07-31"),Table_10_UK!K45&lt;&gt;0),"FAIL",IF(AND(ISBLANK(Table_10_UK!J7),Table_10_UK!K45&lt;&gt;0),"FAIL",IF(AND(Table_10_UK!L7&gt;DATEVALUE("2019-07-31"),Table_10_UK!M45&lt;&gt;0),"FAIL",IF(AND(ISBLANK(Table_10_UK!L7),Table_10_UK!M45&lt;&gt;0),"FAIL",IF(AND(Table_10_UK!N7&gt;DATEVALUE("2019-07-31"),Table_10_UK!O45&lt;&gt;0),"FAIL",IF(AND(ISBLANK(Table_10_UK!N7),Table_10_UK!O45&lt;&gt;0),"FAIL","PASS"))))))))</f>
        <v>FAIL</v>
      </c>
      <c r="I178" s="278" t="str">
        <f>IF(AND(Table_10_UK!H7&gt;DATEVALUE("2019-07-31"),Table_10_UK!I45&lt;&gt;0),"Head "&amp;Table_10_UK!A45&amp;" ("&amp;Table_10_UK!I45&amp;")",IF(AND(ISBLANK(Table_10_UK!H7),Table_10_UK!I45&lt;&gt;0),"Head "&amp;Table_10_UK!A45&amp;" ("&amp;Table_10_UK!I45&amp;")",IF(AND(Table_10_UK!J7&gt;DATEVALUE("2019-07-31"),Table_10_UK!K45&lt;&gt;0),"Head "&amp;Table_10_UK!A45&amp;" ("&amp;Table_10_UK!K45&amp;")",IF(AND(ISBLANK(Table_10_UK!J7),Table_10_UK!K45&lt;&gt;0),"Head "&amp;Table_10_UK!A45&amp;" ("&amp;Table_10_UK!K45&amp;")",IF(AND(Table_10_UK!L7&gt;DATEVALUE("2019-07-31"),Table_10_UK!M45&lt;&gt;0),"Head "&amp;Table_10_UK!A45&amp;" ("&amp;Table_10_UK!M45&amp;")",IF(AND(ISBLANK(Table_10_UK!L7),Table_10_UK!M45&lt;&gt;0),"Head "&amp;Table_10_UK!A45&amp;" ("&amp;Table_10_UK!M45&amp;")",IF(AND(Table_10_UK!N7&gt;DATEVALUE("2019-07-31"),Table_10_UK!O45&lt;&gt;0),"Head "&amp;Table_10_UK!A45&amp;" ("&amp;Table_10_UK!O45&amp;")",IF(AND(ISBLANK(Table_10_UK!N7),Table_10_UK!O45&lt;&gt;0),"Head "&amp;Table_10_UK!A45&amp;" ("&amp;Table_10_UK!O45&amp;")",""))))))))</f>
        <v>Head 6 (403)</v>
      </c>
      <c r="J178" s="280" t="str">
        <f>Table_10_UK!I45&amp;", "&amp;Table_10_UK!K45&amp;", "&amp;Table_10_UK!M45&amp;", "&amp;Table_10_UK!O45</f>
        <v>403, 0, 0, 0</v>
      </c>
      <c r="K178" s="207">
        <f t="shared" si="8"/>
        <v>0</v>
      </c>
      <c r="L178" s="207">
        <f t="shared" si="9"/>
        <v>1</v>
      </c>
    </row>
    <row r="179" spans="1:12" customFormat="1" ht="15.6" customHeight="1" x14ac:dyDescent="0.25">
      <c r="A179" s="177" t="s">
        <v>671</v>
      </c>
      <c r="B179" s="693" t="s">
        <v>672</v>
      </c>
      <c r="C179" s="693"/>
      <c r="D179" s="693"/>
      <c r="E179" s="694" t="str">
        <f>Table_10_UK!$A$1&amp;" Head "&amp;Table_10_UK!A8&amp;", "&amp;Table_10_UK!A45</f>
        <v>Table 10: Head 1c, 6</v>
      </c>
      <c r="F179" s="694"/>
      <c r="G179" s="271" t="s">
        <v>366</v>
      </c>
      <c r="H179" s="276" t="str">
        <f>IF(AND(Table_10_UK!J8&lt;=DATEVALUE("2019-07-31"),Table_10_UK!J45&lt;&gt;0),"FAIL",IF(AND(ISBLANK(Table_10_UK!J8),Table_10_UK!J45&lt;&gt;0),"FAIL",IF(AND(Table_10_UK!L8&lt;=DATEVALUE("2019-07-31"),Table_10_UK!L45&lt;&gt;0),"FAIL",IF(AND(ISBLANK(Table_10_UK!L8),Table_10_UK!L45&lt;&gt;0),"FAIL",IF(AND(Table_10_UK!N8&lt;=DATEVALUE("2019-07-31"),Table_10_UK!N45&lt;&gt;0),"FAIL",IF(AND(ISBLANK(Table_10_UK!N8),Table_10_UK!N45&lt;&gt;0),"FAIL","PASS"))))))</f>
        <v>PASS</v>
      </c>
      <c r="I179" s="278" t="str">
        <f>IF(AND(Table_10_UK!J8&lt;=DATEVALUE("2019-07-31"),Table_10_UK!J45&lt;&gt;0),"Head "&amp;Table_10_UK!A45&amp;" ("&amp;Table_10_UK!J45&amp;")",IF(AND(ISBLANK(Table_10_UK!J8),Table_10_UK!J45&lt;&gt;0),"Head "&amp;Table_10_UK!A45&amp;" ("&amp;Table_10_UK!J45&amp;")",IF(AND(Table_10_UK!L8&lt;=DATEVALUE("2019-07-31"),Table_10_UK!L45&lt;&gt;0),"Head "&amp;Table_10_UK!A45&amp;" ("&amp;Table_10_UK!L45&amp;")",IF(AND(ISBLANK(Table_10_UK!L8),Table_10_UK!L45&lt;&gt;0),"Head "&amp;Table_10_UK!A45&amp;" ("&amp;Table_10_UK!L45&amp;")",IF(AND(Table_10_UK!N8&lt;=DATEVALUE("2019-07-31"),Table_10_UK!N45&lt;&gt;0),"Head "&amp;Table_10_UK!A45&amp;" ("&amp;Table_10_UK!N45&amp;")",IF(AND(ISBLANK(Table_10_UK!N8),Table_10_UK!N45&lt;&gt;0),"Head "&amp;Table_10_UK!A45&amp;" ("&amp;Table_10_UK!N45&amp;")",""))))))</f>
        <v/>
      </c>
      <c r="J179" s="280" t="str">
        <f>Table_10_UK!J45&amp;", "&amp;Table_10_UK!L45&amp;", "&amp;Table_10_UK!N45</f>
        <v>0, 0, 0</v>
      </c>
      <c r="K179" s="207">
        <f t="shared" si="8"/>
        <v>0</v>
      </c>
      <c r="L179" s="207">
        <f t="shared" si="9"/>
        <v>0</v>
      </c>
    </row>
    <row r="180" spans="1:12" customFormat="1" ht="30" customHeight="1" x14ac:dyDescent="0.25">
      <c r="A180" s="177" t="s">
        <v>673</v>
      </c>
      <c r="B180" s="693" t="s">
        <v>674</v>
      </c>
      <c r="C180" s="693"/>
      <c r="D180" s="693"/>
      <c r="E180" s="694" t="str">
        <f>Table_10_UK!$A$1&amp;" Head "&amp;Table_10_UK!A34&amp;", "&amp;Table_10_UK!A48</f>
        <v>Table 10: Head 4b, 8</v>
      </c>
      <c r="F180" s="694"/>
      <c r="G180" s="271" t="s">
        <v>366</v>
      </c>
      <c r="H180" s="276" t="str">
        <f>IF(AND(Table_10_UK!H48="Yes",Table_10_UK!H34&lt;=0),"FAIL",IF(AND(Table_10_UK!I48="Yes",Table_10_UK!I34&lt;=0),"FAIL",IF(AND(Table_10_UK!J48="Yes",Table_10_UK!J34&lt;=0),"FAIL",IF(AND(Table_10_UK!K48="Yes",Table_10_UK!K34&lt;=0),"FAIL",IF(AND(Table_10_UK!L48="Yes",Table_10_UK!L34&lt;=0),"FAIL",IF(AND(Table_10_UK!M48="Yes",Table_10_UK!M34&lt;=0),"FAIL",IF(AND(Table_10_UK!N48="Yes",Table_10_UK!N34&lt;=0),"FAIL",IF(AND(Table_10_UK!O48="Yes",Table_10_UK!O34&lt;=0),"FAIL","PASS"))))))))</f>
        <v>PASS</v>
      </c>
      <c r="I180" s="278" t="str">
        <f>IF(AND(Table_10_UK!H48="Yes",Table_10_UK!H34&lt;=0),"Head "&amp;Table_10_UK!A34&amp;" ("&amp;Table_10_UK!H34&amp;")",IF(AND(Table_10_UK!I48="Yes",Table_10_UK!I34&lt;=0),"Head "&amp;Table_10_UK!A34&amp;" ("&amp;Table_10_UK!I34&amp;")",IF(AND(Table_10_UK!J48="Yes",Table_10_UK!J34&lt;=0),"Head "&amp;Table_10_UK!A34&amp;" ("&amp;Table_10_UK!J34&amp;")",IF(AND(Table_10_UK!K48="Yes",Table_10_UK!K34&lt;=0),"Head "&amp;Table_10_UK!A34&amp;" ("&amp;Table_10_UK!K34&amp;")",IF(AND(Table_10_UK!L48="Yes",Table_10_UK!L34&lt;=0),"Head "&amp;Table_10_UK!A34&amp;" ("&amp;Table_10_UK!L34&amp;")",IF(AND(Table_10_UK!M48="Yes",Table_10_UK!M34&lt;=0),"Head "&amp;Table_10_UK!A34&amp;" ("&amp;Table_10_UK!M34&amp;")",IF(AND(Table_10_UK!N48="Yes",Table_10_UK!N34&lt;=0),"Head "&amp;Table_10_UK!A34&amp;" ("&amp;Table_10_UK!N34&amp;")",IF(AND(Table_10_UK!O48="Yes",Table_10_UK!O34&lt;=0),"Head "&amp;Table_10_UK!A34&amp;" ("&amp;Table_10_UK!O34&amp;")",""))))))))</f>
        <v/>
      </c>
      <c r="J180" s="280" t="str">
        <f>Table_10_UK!H34&amp;", "&amp;Table_10_UK!I34&amp;", "&amp;Table_10_UK!J34&amp;", "&amp;Table_10_UK!K34&amp;", "&amp;Table_10_UK!L34&amp;", "&amp;Table_10_UK!M34&amp;", "&amp;Table_10_UK!N34&amp;", "&amp;Table_10_UK!O34</f>
        <v>0, 0, 0, 0, 0, 0, 0, 0</v>
      </c>
      <c r="K180" s="207">
        <f t="shared" si="8"/>
        <v>0</v>
      </c>
      <c r="L180" s="207">
        <f t="shared" si="9"/>
        <v>0</v>
      </c>
    </row>
    <row r="181" spans="1:12" customFormat="1" ht="15.6" customHeight="1" x14ac:dyDescent="0.25">
      <c r="A181" s="177" t="s">
        <v>675</v>
      </c>
      <c r="B181" s="693" t="s">
        <v>676</v>
      </c>
      <c r="C181" s="693"/>
      <c r="D181" s="693"/>
      <c r="E181" s="694" t="str">
        <f>Table_10_UK!$A$1&amp;" Head "&amp;Table_10_UK!A54</f>
        <v>Table 10: Head 10a</v>
      </c>
      <c r="F181" s="694"/>
      <c r="G181" s="271" t="s">
        <v>366</v>
      </c>
      <c r="H181" s="271" t="str">
        <f>IF(AND(B4&lt;&gt;"X",Table_10_UK!H54=0),"FAIL","PASS")</f>
        <v>PASS</v>
      </c>
      <c r="I181" s="278" t="str">
        <f>IF(AND(B4&lt;&gt;"X",Table_10_UK!H54=0),"Head "&amp;Table_10_UK!A54&amp;" ("&amp;J181&amp;")","")</f>
        <v/>
      </c>
      <c r="J181" s="280">
        <f>Table_10_UK!H54</f>
        <v>9.3000000000000007</v>
      </c>
      <c r="K181" s="207">
        <f t="shared" si="8"/>
        <v>0</v>
      </c>
      <c r="L181" s="207">
        <f t="shared" si="9"/>
        <v>0</v>
      </c>
    </row>
    <row r="182" spans="1:12" customFormat="1" ht="15.6" customHeight="1" x14ac:dyDescent="0.25">
      <c r="A182" s="177" t="s">
        <v>677</v>
      </c>
      <c r="B182" s="693" t="s">
        <v>678</v>
      </c>
      <c r="C182" s="693"/>
      <c r="D182" s="693"/>
      <c r="E182" s="694" t="str">
        <f>Table_10_UK!$A$1&amp;" Head "&amp;Table_10_UK!A55</f>
        <v>Table 10: Head 10b</v>
      </c>
      <c r="F182" s="694"/>
      <c r="G182" s="271" t="s">
        <v>366</v>
      </c>
      <c r="H182" s="271" t="str">
        <f>IF(AND(B4&lt;&gt;"X",Table_10_UK!H55=0),"FAIL","PASS")</f>
        <v>PASS</v>
      </c>
      <c r="I182" s="278" t="str">
        <f>IF(AND(B4&lt;&gt;"X",Table_10_UK!H55=0),"Head "&amp;Table_10_UK!A55&amp;" ("&amp;J182&amp;")","")</f>
        <v/>
      </c>
      <c r="J182" s="280">
        <f>Table_10_UK!H55</f>
        <v>10.6</v>
      </c>
      <c r="K182" s="207">
        <f t="shared" si="8"/>
        <v>0</v>
      </c>
      <c r="L182" s="207">
        <f t="shared" si="9"/>
        <v>0</v>
      </c>
    </row>
    <row r="183" spans="1:12" customFormat="1" ht="15.6" customHeight="1" x14ac:dyDescent="0.25">
      <c r="A183" s="177" t="s">
        <v>679</v>
      </c>
      <c r="B183" s="693" t="s">
        <v>680</v>
      </c>
      <c r="C183" s="693"/>
      <c r="D183" s="693"/>
      <c r="E183" s="694" t="str">
        <f>Table_10_UK!$A$1&amp;" Head "&amp;Table_10_UK!A29</f>
        <v>Table 10: Head 3d</v>
      </c>
      <c r="F183" s="694"/>
      <c r="G183" s="271" t="s">
        <v>361</v>
      </c>
      <c r="H183" s="276" t="str">
        <f>IF(AND(SUM(Table_10_UK!P29:Q29)&lt;&gt;0,ISBLANK(Table_10_UK!R29)),"FAIL","PASS")</f>
        <v>PASS</v>
      </c>
      <c r="I183" s="278" t="str">
        <f>IF(AND(SUM(Table_10_UK!P29:Q29)&lt;&gt;0,ISBLANK(Table_10_UK!R29)),"Head "&amp;Table_10_UK!A29&amp;" ("&amp;J183&amp;")","")</f>
        <v/>
      </c>
      <c r="J183" s="280" t="str">
        <f>Table_10_UK!P29&amp;","&amp;Table_10_UK!Q29</f>
        <v>0,0</v>
      </c>
      <c r="K183" s="207">
        <f t="shared" si="8"/>
        <v>0</v>
      </c>
      <c r="L183" s="207">
        <f t="shared" si="9"/>
        <v>0</v>
      </c>
    </row>
    <row r="184" spans="1:12" customFormat="1" ht="15.6" customHeight="1" x14ac:dyDescent="0.25">
      <c r="A184" s="177" t="s">
        <v>681</v>
      </c>
      <c r="B184" s="693" t="s">
        <v>682</v>
      </c>
      <c r="C184" s="693"/>
      <c r="D184" s="693"/>
      <c r="E184" s="694" t="str">
        <f>Table_10_UK!$A$1&amp;" Head "&amp;Table_10_UK!A35</f>
        <v>Table 10: Head 4c</v>
      </c>
      <c r="F184" s="694"/>
      <c r="G184" s="271" t="s">
        <v>361</v>
      </c>
      <c r="H184" s="276" t="str">
        <f>IF(AND(SUM(Table_10_UK!P35:Q35)&lt;&gt;0,ISBLANK(Table_10_UK!R35)),"FAIL","PASS")</f>
        <v>PASS</v>
      </c>
      <c r="I184" s="278" t="str">
        <f>IF(AND(SUM(Table_10_UK!P35:Q35)&lt;&gt;0,ISBLANK(Table_10_UK!R35)),"Head "&amp;Table_10_UK!A35&amp;" ("&amp;J184&amp;")","")</f>
        <v/>
      </c>
      <c r="J184" s="280" t="str">
        <f>Table_10_UK!P35&amp;","&amp;Table_10_UK!Q35</f>
        <v>0,0</v>
      </c>
      <c r="K184" s="207">
        <f t="shared" ref="K184:K196" si="10">IF(AND(G184="Error",H184="FAIL"),1,0)</f>
        <v>0</v>
      </c>
      <c r="L184" s="207">
        <f t="shared" ref="L184:L196" si="11">IF(AND(G184="Warning",H184="FAIL"),1,0)</f>
        <v>0</v>
      </c>
    </row>
    <row r="185" spans="1:12" customFormat="1" ht="15.6" customHeight="1" x14ac:dyDescent="0.25">
      <c r="A185" s="177" t="s">
        <v>683</v>
      </c>
      <c r="B185" s="693" t="s">
        <v>684</v>
      </c>
      <c r="C185" s="693"/>
      <c r="D185" s="693"/>
      <c r="E185" s="694" t="str">
        <f>Table_10_UK!$A$1&amp;" Head "&amp;Table_10_UK!A42</f>
        <v>Table 10: Head 5d</v>
      </c>
      <c r="F185" s="694"/>
      <c r="G185" s="271" t="s">
        <v>361</v>
      </c>
      <c r="H185" s="276" t="str">
        <f>IF(AND(SUM(Table_10_UK!P42:Q42)&lt;&gt;0,ISBLANK(Table_10_UK!R42)),"FAIL","PASS")</f>
        <v>PASS</v>
      </c>
      <c r="I185" s="278" t="str">
        <f>IF(AND(SUM(Table_10_UK!P42:Q42)&lt;&gt;0,ISBLANK(Table_10_UK!R42)),"Head "&amp;Table_10_UK!A42&amp;" ("&amp;J185&amp;")","")</f>
        <v/>
      </c>
      <c r="J185" s="280" t="str">
        <f>Table_10_UK!P42&amp;","&amp;Table_10_UK!Q42</f>
        <v>0,0</v>
      </c>
      <c r="K185" s="207">
        <f t="shared" si="10"/>
        <v>0</v>
      </c>
      <c r="L185" s="207">
        <f t="shared" si="11"/>
        <v>0</v>
      </c>
    </row>
    <row r="186" spans="1:12" customFormat="1" ht="15.6" customHeight="1" x14ac:dyDescent="0.25">
      <c r="A186" s="177" t="s">
        <v>685</v>
      </c>
      <c r="B186" s="693" t="s">
        <v>686</v>
      </c>
      <c r="C186" s="693"/>
      <c r="D186" s="693"/>
      <c r="E186" s="694" t="str">
        <f>Table_10_UK!$A$1&amp;" Head "&amp;Table_10_UK!A45&amp;", "&amp;Table_10_UK!A54</f>
        <v>Table 10: Head 6, 10a</v>
      </c>
      <c r="F186" s="694"/>
      <c r="G186" s="271" t="s">
        <v>366</v>
      </c>
      <c r="H186" s="79" t="str">
        <f>IF(AND(Table_10_UK!I45&gt;0,Table_10_UK!I54=0),"FAIL",IF(AND(Table_10_UK!J45&gt;0,Table_10_UK!J54=0),"FAIL",IF(AND(Table_10_UK!K45&gt;0,Table_10_UK!K54=0),"FAIL",IF(AND(Table_10_UK!L45&gt;0,Table_10_UK!L54=0),"FAIL",IF(AND(Table_10_UK!M45&gt;0,Table_10_UK!M54=0),"FAIL",IF(AND(Table_10_UK!N45&gt;0,Table_10_UK!N54=0),"FAIL",IF(AND(Table_10_UK!O45&gt;0,Table_10_UK!O54=0),"FAIL","PASS")))))))</f>
        <v>PASS</v>
      </c>
      <c r="I186" s="278" t="str">
        <f>IF(AND(Table_10_UK!I45&gt;0,Table_10_UK!I54=0),"Head "&amp;Table_10_UK!A45&amp;", "&amp;Table_10_UK!A54&amp;" ("&amp;Table_10_UK!I45&amp;", "&amp;Table_10_UK!I54&amp;"), ",IF(AND(Table_10_UK!J45&gt;0,Table_10_UK!J54=0),"Head "&amp;Table_10_UK!A45&amp;", "&amp;Table_10_UK!A54&amp;" ("&amp;Table_10_UK!J45&amp;", "&amp;Table_10_UK!J54&amp;"), ",IF(AND(Table_10_UK!K45&gt;0,Table_10_UK!K54=0),"Head "&amp;Table_10_UK!A45&amp;", "&amp;Table_10_UK!A54&amp;" ("&amp;Table_10_UK!K45&amp;", "&amp;Table_10_UK!K54&amp;"), ",IF(AND(Table_10_UK!L45&gt;0,Table_10_UK!L54=0),"Head "&amp;Table_10_UK!A45&amp;", "&amp;Table_10_UK!A54&amp;" ("&amp;Table_10_UK!L45&amp;", "&amp;Table_10_UK!L54&amp;"), ",IF(AND(Table_10_UK!M45&gt;0,Table_10_UK!M54=0),"Head "&amp;Table_10_UK!A45&amp;", "&amp;Table_10_UK!A54&amp;" ("&amp;Table_10_UK!M45&amp;", "&amp;Table_10_UK!M54&amp;"), ",IF(AND(Table_10_UK!N45&gt;0,Table_10_UK!N54=0),"Head "&amp;Table_10_UK!A45&amp;", "&amp;Table_10_UK!A54&amp;" ("&amp;Table_10_UK!N45&amp;", "&amp;Table_10_UK!N54&amp;"), ",IF(AND(Table_10_UK!O45&gt;0,Table_10_UK!O54=0),"Head "&amp;Table_10_UK!A45&amp;", "&amp;Table_10_UK!A54&amp;" ("&amp;Table_10_UK!O45&amp;", "&amp;Table_10_UK!O54&amp;"), ","")))))))</f>
        <v/>
      </c>
      <c r="J186" s="284" t="str">
        <f>Table_10_UK!I45&amp;", "&amp;Table_10_UK!I54&amp;", "&amp;Table_10_UK!J45&amp;", "&amp;Table_10_UK!J54&amp;", "&amp;Table_10_UK!K45&amp;", "&amp;Table_10_UK!K54&amp;", "&amp;Table_10_UK!L45&amp;", "&amp;Table_10_UK!L54&amp;", "&amp;Table_10_UK!M45&amp;", "&amp;Table_10_UK!M54&amp;", "&amp;Table_10_UK!N45&amp;", "&amp;Table_10_UK!N54&amp;", "&amp;Table_10_UK!O45&amp;", "&amp;Table_10_UK!O54</f>
        <v>403, 96, 0, 0, 0, 0, 0, 0, 0, 0, 0, 0, 0, 0</v>
      </c>
      <c r="K186" s="207">
        <f t="shared" si="10"/>
        <v>0</v>
      </c>
      <c r="L186" s="207">
        <f t="shared" si="11"/>
        <v>0</v>
      </c>
    </row>
    <row r="187" spans="1:12" customFormat="1" ht="15.6" customHeight="1" x14ac:dyDescent="0.25">
      <c r="A187" s="177" t="s">
        <v>687</v>
      </c>
      <c r="B187" s="693" t="s">
        <v>688</v>
      </c>
      <c r="C187" s="693"/>
      <c r="D187" s="693"/>
      <c r="E187" s="694" t="str">
        <f>Table_10_UK!$A$1&amp;" Head "&amp;Table_10_UK!A45&amp;", "&amp;Table_10_UK!A55</f>
        <v>Table 10: Head 6, 10b</v>
      </c>
      <c r="F187" s="694"/>
      <c r="G187" s="271" t="s">
        <v>366</v>
      </c>
      <c r="H187" s="79" t="str">
        <f>IF(AND(Table_10_UK!I45&gt;0,Table_10_UK!I55=0),"FAIL",IF(AND(Table_10_UK!J45&gt;0,Table_10_UK!J55=0),"FAIL",IF(AND(Table_10_UK!K45&gt;0,Table_10_UK!K55=0),"FAIL",IF(AND(Table_10_UK!L45&gt;0,Table_10_UK!L55=0),"FAIL",IF(AND(Table_10_UK!M45&gt;0,Table_10_UK!M55=0),"FAIL",IF(AND(Table_10_UK!N45&gt;0,Table_10_UK!N55=0),"FAIL",IF(AND(Table_10_UK!O45&gt;0,Table_10_UK!O55=0),"FAIL","PASS")))))))</f>
        <v>PASS</v>
      </c>
      <c r="I187" s="278" t="str">
        <f>IF(AND(Table_10_UK!I45&gt;0,Table_10_UK!I55=0),"Head "&amp;Table_10_UK!A45&amp;", "&amp;Table_10_UK!A55&amp;" ("&amp;Table_10_UK!I45&amp;", "&amp;Table_10_UK!I55&amp;"), ",IF(AND(Table_10_UK!J45&gt;0,Table_10_UK!J55=0),"Head "&amp;Table_10_UK!A45&amp;", "&amp;Table_10_UK!A55&amp;" ("&amp;Table_10_UK!J45&amp;", "&amp;Table_10_UK!J55&amp;"), ",IF(AND(Table_10_UK!K45&gt;0,Table_10_UK!K55=0),"Head "&amp;Table_10_UK!A45&amp;", "&amp;Table_10_UK!A55&amp;" ("&amp;Table_10_UK!K45&amp;", "&amp;Table_10_UK!K55&amp;"), ",IF(AND(Table_10_UK!L45&gt;0,Table_10_UK!L55=0),"Head "&amp;Table_10_UK!A45&amp;", "&amp;Table_10_UK!A55&amp;" ("&amp;Table_10_UK!L45&amp;", "&amp;Table_10_UK!L55&amp;"), ",IF(AND(Table_10_UK!M45&gt;0,Table_10_UK!M55=0),"Head "&amp;Table_10_UK!A45&amp;", "&amp;Table_10_UK!A55&amp;" ("&amp;Table_10_UK!M45&amp;", "&amp;Table_10_UK!M55&amp;"), ",IF(AND(Table_10_UK!N45&gt;0,Table_10_UK!N55=0),"Head "&amp;Table_10_UK!A45&amp;", "&amp;Table_10_UK!A55&amp;" ("&amp;Table_10_UK!N45&amp;", "&amp;Table_10_UK!N55&amp;"), ",IF(AND(Table_10_UK!O45&gt;0,Table_10_UK!O55=0),"Head "&amp;Table_10_UK!A45&amp;", "&amp;Table_10_UK!A55&amp;" ("&amp;Table_10_UK!O45&amp;", "&amp;Table_10_UK!O55&amp;"), ","")))))))</f>
        <v/>
      </c>
      <c r="J187" s="284" t="str">
        <f>Table_10_UK!I45&amp;", "&amp;Table_10_UK!I55&amp;", "&amp;Table_10_UK!J45&amp;", "&amp;Table_10_UK!J55&amp;", "&amp;Table_10_UK!K45&amp;", "&amp;Table_10_UK!K55&amp;", "&amp;Table_10_UK!L45&amp;", "&amp;Table_10_UK!L55&amp;", "&amp;Table_10_UK!M45&amp;", "&amp;Table_10_UK!M55&amp;", "&amp;Table_10_UK!N45&amp;", "&amp;Table_10_UK!N55&amp;", "&amp;Table_10_UK!O45&amp;", "&amp;Table_10_UK!O55</f>
        <v>403, 11.3, 0, 0, 0, 0, 0, 0, 0, 0, 0, 0, 0, 0</v>
      </c>
      <c r="K187" s="207">
        <f t="shared" si="10"/>
        <v>0</v>
      </c>
      <c r="L187" s="207">
        <f t="shared" si="11"/>
        <v>0</v>
      </c>
    </row>
    <row r="188" spans="1:12" customFormat="1" ht="15.6" customHeight="1" x14ac:dyDescent="0.25">
      <c r="A188" s="177" t="s">
        <v>689</v>
      </c>
      <c r="B188" s="693" t="s">
        <v>690</v>
      </c>
      <c r="C188" s="693"/>
      <c r="D188" s="693"/>
      <c r="E188" s="694" t="str">
        <f>Table_11_UK!$A$1&amp;" Head "&amp;Table_11_UK!A27</f>
        <v>Table 11: Head 3a</v>
      </c>
      <c r="F188" s="694"/>
      <c r="G188" s="271" t="s">
        <v>366</v>
      </c>
      <c r="H188" s="285" t="str">
        <f>IF(AND($B$4="S",OR(Table_11_UK!H27&lt;&gt;0,Table_11_UK!I27&lt;&gt;0)),"FAIL","PASS")</f>
        <v>PASS</v>
      </c>
      <c r="I188" s="278" t="str">
        <f>IF(AND($B$4="S",OR(Table_11_UK!H27&lt;&gt;0,Table_11_UK!I27&lt;&gt;0)),"Head "&amp;Table_11_UK!A27&amp;" ("&amp;J188&amp;")","")</f>
        <v/>
      </c>
      <c r="J188" s="280" t="str">
        <f>Table_11_UK!H27&amp;", "&amp;Table_11_UK!I27</f>
        <v>0, 0</v>
      </c>
      <c r="K188" s="207">
        <f t="shared" si="10"/>
        <v>0</v>
      </c>
      <c r="L188" s="207">
        <f t="shared" si="11"/>
        <v>0</v>
      </c>
    </row>
    <row r="189" spans="1:12" customFormat="1" ht="30.4" customHeight="1" x14ac:dyDescent="0.25">
      <c r="A189" s="177" t="s">
        <v>691</v>
      </c>
      <c r="B189" s="693" t="s">
        <v>692</v>
      </c>
      <c r="C189" s="693"/>
      <c r="D189" s="693"/>
      <c r="E189" s="694" t="str">
        <f>Table_12_UK!$A$1&amp;" Head "&amp;Table_12_UK!A6&amp;", "&amp;Table_12_UK!A7&amp;", "&amp;Table_12_UK!A10&amp;", "&amp;Table_10_UK!$A$1&amp;" Head "&amp;Table_10_UK!A22</f>
        <v>Table 12: Head 1a, 1b, 1e, Table 10: Head 2h</v>
      </c>
      <c r="F189" s="694"/>
      <c r="G189" s="271" t="s">
        <v>366</v>
      </c>
      <c r="H189" s="276" t="str">
        <f>IF(Table_12_UK!H6+Table_12_UK!H7+Table_12_UK!H10&lt;&gt;Table_10_UK!P22,"FAIL","PASS")</f>
        <v>PASS</v>
      </c>
      <c r="I189" s="278" t="str">
        <f>IF(Table_12_UK!H6+Table_12_UK!H7+Table_12_UK!H10&lt;&gt;Table_10_UK!P22,Table_12_UK!$A$1&amp;" Head "&amp;Table_12_UK!A6&amp;", "&amp;Table_12_UK!A7&amp;", "&amp;Table_12_UK!A10&amp;" ("&amp;Table_12_UK!H6+Table_12_UK!H7+Table_12_UK!H10&amp;")"&amp;", "&amp;Table_10_UK!$A$1&amp;" Head "&amp;Table_10_UK!A22&amp;" ("&amp;Table_10_UK!P22&amp;")","")</f>
        <v/>
      </c>
      <c r="J189" s="273" t="str">
        <f>Table_12_UK!H6+Table_12_UK!H7+Table_12_UK!H10&amp;", "&amp;Table_10_UK!P22</f>
        <v>0, 0</v>
      </c>
      <c r="K189" s="207">
        <f t="shared" si="10"/>
        <v>0</v>
      </c>
      <c r="L189" s="207">
        <f t="shared" si="11"/>
        <v>0</v>
      </c>
    </row>
    <row r="190" spans="1:12" customFormat="1" ht="30.4" customHeight="1" x14ac:dyDescent="0.25">
      <c r="A190" s="177" t="s">
        <v>693</v>
      </c>
      <c r="B190" s="693" t="s">
        <v>694</v>
      </c>
      <c r="C190" s="693"/>
      <c r="D190" s="693"/>
      <c r="E190" s="694" t="str">
        <f>Table_12_UK!$A$1&amp;" Head "&amp;Table_12_UK!A6&amp;", "&amp;Table_12_UK!A7&amp;", "&amp;Table_12_UK!A10&amp;", "&amp;Table_10_UK!$A$1&amp;" Head "&amp;Table_10_UK!A22</f>
        <v>Table 12: Head 1a, 1b, 1e, Table 10: Head 2h</v>
      </c>
      <c r="F190" s="694"/>
      <c r="G190" s="271" t="s">
        <v>366</v>
      </c>
      <c r="H190" s="276" t="str">
        <f>IF(Table_12_UK!I6+Table_12_UK!I7+Table_12_UK!I10&lt;&gt;Table_10_UK!Q22,"FAIL","PASS")</f>
        <v>PASS</v>
      </c>
      <c r="I190" s="278" t="str">
        <f>IF(Table_12_UK!I6+Table_12_UK!I7+Table_12_UK!I10&lt;&gt;Table_10_UK!Q22,Table_12_UK!$A$1&amp;" Head "&amp;Table_12_UK!A6&amp;", "&amp;Table_12_UK!A7&amp;", "&amp;Table_12_UK!A10&amp;" ("&amp;Table_12_UK!I6+Table_12_UK!I7+Table_12_UK!I10&amp;")"&amp;", "&amp;Table_10_UK!$A$1&amp;" Head "&amp;Table_10_UK!A22&amp;" ("&amp;Table_10_UK!Q22&amp;")","")</f>
        <v/>
      </c>
      <c r="J190" s="273" t="str">
        <f>Table_12_UK!I6+Table_12_UK!I7+Table_12_UK!I10&amp;", "&amp;Table_10_UK!Q22</f>
        <v>0, 0</v>
      </c>
      <c r="K190" s="207">
        <f t="shared" si="10"/>
        <v>0</v>
      </c>
      <c r="L190" s="207">
        <f t="shared" si="11"/>
        <v>0</v>
      </c>
    </row>
    <row r="191" spans="1:12" customFormat="1" ht="16.350000000000001" customHeight="1" x14ac:dyDescent="0.25">
      <c r="A191" s="177" t="s">
        <v>695</v>
      </c>
      <c r="B191" s="693" t="s">
        <v>696</v>
      </c>
      <c r="C191" s="693"/>
      <c r="D191" s="693"/>
      <c r="E191" s="694" t="str">
        <f>Table_12_UK!$A$1&amp;" Head "&amp;Table_12_UK!A6&amp;", "&amp;Table_12_UK!A7&amp;", "&amp;Table_12_UK!A8&amp;", "&amp;Table_12_UK!A10&amp;", "&amp;Table_12_UK!A13&amp;" "&amp;Table_12_UK!A14&amp;", "&amp;Table_12_UK!A15&amp;", "&amp;Table_12_UK!A16&amp;" "&amp;Table_12_UK!A17&amp;", "&amp;Table_12_UK!A18</f>
        <v>Table 12: Head 1a, 1b, 1c, 1e, 2a i, ii, 2b i, ii</v>
      </c>
      <c r="F191" s="694"/>
      <c r="G191" s="271" t="s">
        <v>366</v>
      </c>
      <c r="H191" s="276" t="str">
        <f>IF(AND(Table_12_UK!H20="No",(Table_12_UK!H6+Table_12_UK!H7+Table_12_UK!H8+Table_12_UK!H10+Table_12_UK!H14+Table_12_UK!H15+Table_12_UK!H17+Table_12_UK!H18&lt;=0)),"FAIL","PASS")</f>
        <v>PASS</v>
      </c>
      <c r="I191" s="278" t="str">
        <f>IF(AND(Table_12_UK!H20="No",(Table_12_UK!H6+Table_12_UK!H7+Table_12_UK!H8+Table_12_UK!H10+Table_12_UK!H14+Table_12_UK!H15+Table_12_UK!H17+Table_12_UK!H18&lt;=0)),Table_12_UK!$A$1&amp;" Head "&amp;Table_12_UK!A6&amp;", "&amp;Table_12_UK!A7&amp;", "&amp;Table_12_UK!A8&amp;", "&amp;Table_12_UK!A10&amp;", "&amp;Table_12_UK!A13&amp;" "&amp;Table_12_UK!A14&amp;", "&amp;Table_12_UK!A15&amp;", "&amp;Table_12_UK!A16&amp;" "&amp;Table_12_UK!A17&amp;", "&amp;Table_12_UK!A18,"")</f>
        <v/>
      </c>
      <c r="J191" s="286" t="str">
        <f>CONCATENATE(SUM(Table_12_UK!H6+Table_12_UK!H7+Table_12_UK!H8+Table_12_UK!H10+Table_12_UK!H14+Table_12_UK!H15+Table_12_UK!H17+Table_12_UK!H18)," ,",Table_12_UK!H20)</f>
        <v>40 ,No</v>
      </c>
      <c r="K191" s="207">
        <f t="shared" si="10"/>
        <v>0</v>
      </c>
      <c r="L191" s="207">
        <f t="shared" si="11"/>
        <v>0</v>
      </c>
    </row>
    <row r="192" spans="1:12" customFormat="1" ht="16.5" customHeight="1" x14ac:dyDescent="0.25">
      <c r="A192" s="177" t="s">
        <v>697</v>
      </c>
      <c r="B192" s="693" t="s">
        <v>698</v>
      </c>
      <c r="C192" s="693"/>
      <c r="D192" s="693"/>
      <c r="E192" s="694" t="str">
        <f>Table_12_UK!$A$1&amp;" Head "&amp;Table_12_UK!A13&amp;Table_12_UK!A14&amp;", "&amp;Table_12_UK!A20</f>
        <v>Table 12: Head 2ai, 3</v>
      </c>
      <c r="F192" s="694"/>
      <c r="G192" s="271" t="s">
        <v>366</v>
      </c>
      <c r="H192" s="276" t="str">
        <f>IF(AND(Table_12_UK!H20="Yes",Table_12_UK!H14&gt;0),"FAIL","PASS")</f>
        <v>PASS</v>
      </c>
      <c r="I192" s="278" t="str">
        <f>IF(AND(Table_12_UK!H20="Yes",Table_12_UK!H14&gt;0),"Head "&amp;Table_12_UK!A13&amp;Table_12_UK!A14&amp;" ("&amp;J192&amp;", "&amp;Table_12_UK!H20&amp;")","")</f>
        <v/>
      </c>
      <c r="J192" s="277">
        <f>Table_12_UK!H14</f>
        <v>39</v>
      </c>
      <c r="K192" s="207">
        <f t="shared" si="10"/>
        <v>0</v>
      </c>
      <c r="L192" s="207">
        <f t="shared" si="11"/>
        <v>0</v>
      </c>
    </row>
    <row r="193" spans="1:12" customFormat="1" ht="30.4" customHeight="1" x14ac:dyDescent="0.25">
      <c r="A193" s="177" t="s">
        <v>699</v>
      </c>
      <c r="B193" s="693" t="s">
        <v>700</v>
      </c>
      <c r="C193" s="693"/>
      <c r="D193" s="693"/>
      <c r="E193" s="694" t="str">
        <f>Table_12_UK!$A$1&amp;" Head "&amp;Table_12_UK!A8&amp;", "&amp;Table_12_UK!A9</f>
        <v>Table 12: Head 1c, 1d</v>
      </c>
      <c r="F193" s="694"/>
      <c r="G193" s="271" t="s">
        <v>366</v>
      </c>
      <c r="H193" s="276" t="str">
        <f>IF(AND(Table_12_UK!H8&lt;&gt;0,OR(Table_12_UK!H9="Please type nature of the benefits here",ISBLANK(Table_12_UK!H9))),"FAIL","PASS")</f>
        <v>PASS</v>
      </c>
      <c r="I193" s="278" t="str">
        <f>IF(AND(Table_12_UK!H8&lt;&gt;0,OR(Table_12_UK!H9="Please type nature of the benefits here",ISBLANK(Table_12_UK!H9))),"Head "&amp;Table_12_UK!A8&amp;" ("&amp;J193&amp;")","")</f>
        <v/>
      </c>
      <c r="J193" s="287">
        <f>Table_12_UK!H8</f>
        <v>0</v>
      </c>
      <c r="K193" s="207">
        <f t="shared" si="10"/>
        <v>0</v>
      </c>
      <c r="L193" s="207">
        <f t="shared" si="11"/>
        <v>0</v>
      </c>
    </row>
    <row r="194" spans="1:12" customFormat="1" ht="16.350000000000001" customHeight="1" x14ac:dyDescent="0.25">
      <c r="A194" s="177" t="s">
        <v>701</v>
      </c>
      <c r="B194" s="693" t="s">
        <v>702</v>
      </c>
      <c r="C194" s="693"/>
      <c r="D194" s="693"/>
      <c r="E194" s="694" t="str">
        <f>Table_12_UK!$A$1&amp;" Head "&amp;Table_12_UK!A6&amp;", "&amp;Table_12_UK!A7&amp;", "&amp;Table_12_UK!A8&amp;", "&amp;Table_12_UK!A10&amp;", "&amp;Table_12_UK!A13&amp;" "&amp;Table_12_UK!A14&amp;", "&amp;Table_12_UK!A15&amp;", "&amp;Table_12_UK!A16&amp;" "&amp;Table_12_UK!A17&amp;", "&amp;Table_12_UK!A18</f>
        <v>Table 12: Head 1a, 1b, 1c, 1e, 2a i, ii, 2b i, ii</v>
      </c>
      <c r="F194" s="694"/>
      <c r="G194" s="271" t="s">
        <v>366</v>
      </c>
      <c r="H194" s="276" t="str">
        <f>IF(OR(AND(Table_12_UK!I20="No",(Table_12_UK!I6+Table_12_UK!I7+Table_12_UK!I8+Table_12_UK!I10+Table_12_UK!I14+Table_12_UK!I15+Table_12_UK!I17+Table_12_UK!I18&lt;&gt;0)),AND(Table_12_UK!I20="Yes",(Table_12_UK!I6+Table_12_UK!I7+Table_12_UK!I8+Table_12_UK!I10+Table_12_UK!I14+Table_12_UK!I15+Table_12_UK!I17+Table_12_UK!I18&gt;=0))),"PASS","FAIL")</f>
        <v>PASS</v>
      </c>
      <c r="I194" s="278" t="str">
        <f>IF(OR(AND(Table_12_UK!I20="No",(Table_12_UK!I6+Table_12_UK!I7+Table_12_UK!I8+Table_12_UK!I10+Table_12_UK!I14+Table_12_UK!I15+Table_12_UK!I17+Table_12_UK!I18&lt;&gt;0)),AND(Table_12_UK!I20="Yes",(Table_12_UK!I6+Table_12_UK!I7+Table_12_UK!I8+Table_12_UK!I10+Table_12_UK!I14+Table_12_UK!I15+Table_12_UK!I17+Table_12_UK!I18&gt;=0))),"","Head "&amp;Table_12_UK!A6&amp;", "&amp;Table_12_UK!A7&amp;", "&amp;Table_12_UK!A8&amp;", "&amp;Table_12_UK!A10&amp;", "&amp;Table_12_UK!A13&amp;" "&amp;Table_12_UK!A14&amp;", "&amp;Table_12_UK!A15&amp;", "&amp;Table_12_UK!A16&amp;" "&amp;Table_12_UK!A17&amp;", "&amp;Table_12_UK!A18)</f>
        <v/>
      </c>
      <c r="J194" s="286" t="str">
        <f>CONCATENATE(SUM(Table_12_UK!I6+Table_12_UK!I7+Table_12_UK!I8+Table_12_UK!I10+Table_12_UK!I14+Table_12_UK!I15+Table_12_UK!I17+Table_12_UK!I18)," ,",Table_12_UK!I20)</f>
        <v>0 ,Yes</v>
      </c>
      <c r="K194" s="207">
        <f t="shared" si="10"/>
        <v>0</v>
      </c>
      <c r="L194" s="207">
        <f t="shared" si="11"/>
        <v>0</v>
      </c>
    </row>
    <row r="195" spans="1:12" customFormat="1" ht="16.350000000000001" customHeight="1" x14ac:dyDescent="0.25">
      <c r="A195" s="177" t="s">
        <v>703</v>
      </c>
      <c r="B195" s="693" t="s">
        <v>704</v>
      </c>
      <c r="C195" s="693"/>
      <c r="D195" s="693"/>
      <c r="E195" s="694" t="str">
        <f>Table_12_UK!$A$1&amp;" Head "&amp;Table_12_UK!A6&amp;", "&amp;Table_12_UK!A7&amp;", "&amp;Table_12_UK!A8&amp;", "&amp;Table_12_UK!A10&amp;", "&amp;Table_12_UK!A13&amp;" "&amp;Table_12_UK!A14&amp;", "&amp;Table_12_UK!A15&amp;", "&amp;Table_12_UK!A16&amp;" "&amp;Table_12_UK!A17&amp;", "&amp;Table_12_UK!A18</f>
        <v>Table 12: Head 1a, 1b, 1c, 1e, 2a i, ii, 2b i, ii</v>
      </c>
      <c r="F195" s="694"/>
      <c r="G195" s="271" t="s">
        <v>366</v>
      </c>
      <c r="H195" s="276" t="str">
        <f>IF(OR(AND(Table_12_UK!H20="Yes",(Table_12_UK!H6+Table_12_UK!H7+Table_12_UK!H8+Table_12_UK!H10+Table_12_UK!H14+Table_12_UK!H15+Table_12_UK!H17+Table_12_UK!H18=0)),AND(Table_12_UK!H20="No",(Table_12_UK!H6+Table_12_UK!H7+Table_12_UK!H8+Table_12_UK!H10+Table_12_UK!H14+Table_12_UK!H15+Table_12_UK!H17+Table_12_UK!H18&gt;0))),"PASS","FAIL")</f>
        <v>PASS</v>
      </c>
      <c r="I195" s="278" t="str">
        <f>IF(OR(AND(Table_12_UK!H20="Yes",(Table_12_UK!H6+Table_12_UK!H7+Table_12_UK!H8+Table_12_UK!H10+Table_12_UK!H14+Table_12_UK!H15+Table_12_UK!H17+Table_12_UK!H18=0)),AND(Table_12_UK!H20="No",(Table_12_UK!H6+Table_12_UK!H7+Table_12_UK!H8+Table_12_UK!H10+Table_12_UK!H14+Table_12_UK!H15+Table_12_UK!H17+Table_12_UK!H18&gt;0))),"","Head "&amp;Table_12_UK!A6&amp;", "&amp;Table_12_UK!A7&amp;", "&amp;Table_12_UK!A8&amp;", "&amp;Table_12_UK!A10&amp;", "&amp;Table_12_UK!A13&amp;" "&amp;Table_12_UK!A14&amp;", "&amp;Table_12_UK!A15&amp;", "&amp;Table_12_UK!A16&amp;" "&amp;Table_12_UK!A17&amp;", "&amp;Table_12_UK!A18&amp;" ("&amp;J195&amp;")")</f>
        <v/>
      </c>
      <c r="J195" s="286" t="str">
        <f>CONCATENATE(SUM(Table_12_UK!H6+Table_12_UK!H7+Table_12_UK!H8+Table_12_UK!H10+Table_12_UK!H14+Table_12_UK!H15+Table_12_UK!H17+Table_12_UK!H18)," ,",Table_12_UK!H20)</f>
        <v>40 ,No</v>
      </c>
      <c r="K195" s="207">
        <f t="shared" si="10"/>
        <v>0</v>
      </c>
      <c r="L195" s="207">
        <f t="shared" si="11"/>
        <v>0</v>
      </c>
    </row>
    <row r="196" spans="1:12" customFormat="1" ht="16.350000000000001" customHeight="1" x14ac:dyDescent="0.25">
      <c r="A196" s="177" t="s">
        <v>705</v>
      </c>
      <c r="B196" s="693" t="s">
        <v>706</v>
      </c>
      <c r="C196" s="693"/>
      <c r="D196" s="693"/>
      <c r="E196" s="694" t="str">
        <f>Table_12_UK!$A$1&amp;" Head "&amp;Table_12_UK!A6&amp;", "&amp;Table_12_UK!A7&amp;", "&amp;Table_12_UK!A8&amp;", "&amp;Table_12_UK!A10&amp;", "&amp;Table_12_UK!A13&amp;" "&amp;Table_12_UK!A14&amp;", "&amp;Table_12_UK!A15&amp;", "&amp;Table_12_UK!A16&amp;" "&amp;Table_12_UK!A17&amp;", "&amp;Table_12_UK!A18</f>
        <v>Table 12: Head 1a, 1b, 1c, 1e, 2a i, ii, 2b i, ii</v>
      </c>
      <c r="F196" s="694"/>
      <c r="G196" s="271" t="s">
        <v>366</v>
      </c>
      <c r="H196" s="276" t="str">
        <f>IF(OR(AND(Table_12_UK!I20="Yes",(Table_12_UK!I6+Table_12_UK!I7+Table_12_UK!I8+Table_12_UK!I10+Table_12_UK!I14+Table_12_UK!I15+Table_12_UK!I17+Table_12_UK!I18=0)),AND(Table_12_UK!I20="No",(Table_12_UK!I6+Table_12_UK!I7+Table_12_UK!I8+Table_12_UK!I10+Table_12_UK!I14+Table_12_UK!I15+Table_12_UK!I17+Table_12_UK!I18&gt;0))),"PASS","FAIL")</f>
        <v>PASS</v>
      </c>
      <c r="I196" s="278" t="str">
        <f>IF(OR(AND(Table_12_UK!I20="Yes",(Table_12_UK!I6+Table_12_UK!I7+Table_12_UK!I8+Table_12_UK!I10+Table_12_UK!I14+Table_12_UK!I15+Table_12_UK!I17+Table_12_UK!I18=0)),AND(Table_12_UK!I20="No",(Table_12_UK!I6+Table_12_UK!I7+Table_12_UK!I8+Table_12_UK!I10+Table_12_UK!I14+Table_12_UK!I15+Table_12_UK!I17+Table_12_UK!I18&gt;0))),"","Head "&amp;Table_12_UK!A6&amp;", "&amp;Table_12_UK!A7&amp;", "&amp;Table_12_UK!A8&amp;", "&amp;Table_12_UK!A10&amp;", "&amp;Table_12_UK!A13&amp;" "&amp;Table_12_UK!A14&amp;", "&amp;Table_12_UK!A15&amp;", "&amp;Table_12_UK!A16&amp;" "&amp;Table_12_UK!A17&amp;", "&amp;Table_12_UK!A18&amp;" ("&amp;J196&amp;")")</f>
        <v/>
      </c>
      <c r="J196" s="286" t="str">
        <f>CONCATENATE(SUM(Table_12_UK!I6+Table_12_UK!I7+Table_12_UK!I8+Table_12_UK!I10+Table_12_UK!I14+Table_12_UK!I15+Table_12_UK!I17+Table_12_UK!I18)," ,",Table_12_UK!I20)</f>
        <v>0 ,Yes</v>
      </c>
      <c r="K196" s="207">
        <f t="shared" si="10"/>
        <v>0</v>
      </c>
      <c r="L196" s="207">
        <f t="shared" si="11"/>
        <v>0</v>
      </c>
    </row>
    <row r="199" spans="1:12" x14ac:dyDescent="0.2">
      <c r="B199" s="102"/>
    </row>
  </sheetData>
  <sheetProtection algorithmName="SHA-512" hashValue="4wRPQ/zcG+xCjMZ8ChpzSxPPhUrhB0j35FvKfCMRHOISqRE2sQUWqIlPKlGCzvbELuj9kRRf3zKiFGwwp14Ceg==" saltValue="qg9iAo/v+mP+/7Vji+/k2A==" spinCount="100000" sheet="1" objects="1"/>
  <mergeCells count="345">
    <mergeCell ref="A6:B6"/>
    <mergeCell ref="B24:D24"/>
    <mergeCell ref="E24:F24"/>
    <mergeCell ref="B25:D25"/>
    <mergeCell ref="E25:F25"/>
    <mergeCell ref="B26:D26"/>
    <mergeCell ref="B27:D27"/>
    <mergeCell ref="E27:F27"/>
    <mergeCell ref="B28:D28"/>
    <mergeCell ref="E28:F28"/>
    <mergeCell ref="B29:D29"/>
    <mergeCell ref="E29:F29"/>
    <mergeCell ref="B30:D30"/>
    <mergeCell ref="E30:F30"/>
    <mergeCell ref="B31:D31"/>
    <mergeCell ref="E31:F31"/>
    <mergeCell ref="B32:D32"/>
    <mergeCell ref="E32:F32"/>
    <mergeCell ref="B33:D33"/>
    <mergeCell ref="E33:F33"/>
    <mergeCell ref="B34:D34"/>
    <mergeCell ref="E34:F34"/>
    <mergeCell ref="B35:D35"/>
    <mergeCell ref="E35:F35"/>
    <mergeCell ref="B36:D36"/>
    <mergeCell ref="E36:F36"/>
    <mergeCell ref="B37:D37"/>
    <mergeCell ref="E37:F37"/>
    <mergeCell ref="B38:D38"/>
    <mergeCell ref="E38:F38"/>
    <mergeCell ref="B39:D39"/>
    <mergeCell ref="E39:F39"/>
    <mergeCell ref="B40:D40"/>
    <mergeCell ref="E40:F40"/>
    <mergeCell ref="B41:D41"/>
    <mergeCell ref="E41:F41"/>
    <mergeCell ref="B42:D42"/>
    <mergeCell ref="E42:F42"/>
    <mergeCell ref="B43:D43"/>
    <mergeCell ref="E43:F43"/>
    <mergeCell ref="B44:D44"/>
    <mergeCell ref="E44:F44"/>
    <mergeCell ref="B45:D45"/>
    <mergeCell ref="E45:F45"/>
    <mergeCell ref="B46:D46"/>
    <mergeCell ref="E46:F46"/>
    <mergeCell ref="B47:D47"/>
    <mergeCell ref="E47:F47"/>
    <mergeCell ref="B48:D48"/>
    <mergeCell ref="E48:F48"/>
    <mergeCell ref="B49:D49"/>
    <mergeCell ref="E49:F49"/>
    <mergeCell ref="B50:D50"/>
    <mergeCell ref="E50:F50"/>
    <mergeCell ref="B51:D51"/>
    <mergeCell ref="E51:F51"/>
    <mergeCell ref="B52:D52"/>
    <mergeCell ref="E52:F52"/>
    <mergeCell ref="B53:D53"/>
    <mergeCell ref="E53:F53"/>
    <mergeCell ref="B54:D54"/>
    <mergeCell ref="E54:F54"/>
    <mergeCell ref="B55:D55"/>
    <mergeCell ref="E55:F55"/>
    <mergeCell ref="B56:D56"/>
    <mergeCell ref="E56:F56"/>
    <mergeCell ref="B57:D57"/>
    <mergeCell ref="E57:F57"/>
    <mergeCell ref="B58:D58"/>
    <mergeCell ref="E58:F58"/>
    <mergeCell ref="B59:D59"/>
    <mergeCell ref="E59:F59"/>
    <mergeCell ref="B60:D60"/>
    <mergeCell ref="E60:F60"/>
    <mergeCell ref="B61:D61"/>
    <mergeCell ref="E61:F61"/>
    <mergeCell ref="B62:D62"/>
    <mergeCell ref="E62:F62"/>
    <mergeCell ref="B63:D63"/>
    <mergeCell ref="E63:F63"/>
    <mergeCell ref="B64:D64"/>
    <mergeCell ref="E64:F64"/>
    <mergeCell ref="B65:D65"/>
    <mergeCell ref="E65:F65"/>
    <mergeCell ref="B66:D66"/>
    <mergeCell ref="E66:F66"/>
    <mergeCell ref="B67:D67"/>
    <mergeCell ref="E67:F67"/>
    <mergeCell ref="B68:D68"/>
    <mergeCell ref="E68:F68"/>
    <mergeCell ref="B69:D69"/>
    <mergeCell ref="E69:F69"/>
    <mergeCell ref="B70:D70"/>
    <mergeCell ref="E70:F70"/>
    <mergeCell ref="B71:D71"/>
    <mergeCell ref="E71:F71"/>
    <mergeCell ref="B72:D72"/>
    <mergeCell ref="E72:F72"/>
    <mergeCell ref="B73:D73"/>
    <mergeCell ref="E73:F73"/>
    <mergeCell ref="B74:D74"/>
    <mergeCell ref="E74:F74"/>
    <mergeCell ref="B75:D75"/>
    <mergeCell ref="E75:F75"/>
    <mergeCell ref="B76:D76"/>
    <mergeCell ref="E76:F76"/>
    <mergeCell ref="B77:D77"/>
    <mergeCell ref="E77:F77"/>
    <mergeCell ref="B78:D78"/>
    <mergeCell ref="E78:F78"/>
    <mergeCell ref="B79:D79"/>
    <mergeCell ref="E79:F79"/>
    <mergeCell ref="B80:D80"/>
    <mergeCell ref="E80:F80"/>
    <mergeCell ref="B81:D81"/>
    <mergeCell ref="E81:F81"/>
    <mergeCell ref="B82:D82"/>
    <mergeCell ref="E82:F82"/>
    <mergeCell ref="B83:D83"/>
    <mergeCell ref="E83:F83"/>
    <mergeCell ref="B84:D84"/>
    <mergeCell ref="E84:F84"/>
    <mergeCell ref="B85:D85"/>
    <mergeCell ref="E85:F85"/>
    <mergeCell ref="B86:D86"/>
    <mergeCell ref="E86:F86"/>
    <mergeCell ref="B87:D87"/>
    <mergeCell ref="E87:F87"/>
    <mergeCell ref="B88:D88"/>
    <mergeCell ref="E88:F88"/>
    <mergeCell ref="B89:D89"/>
    <mergeCell ref="E89:F89"/>
    <mergeCell ref="B90:D90"/>
    <mergeCell ref="E90:F90"/>
    <mergeCell ref="B91:D91"/>
    <mergeCell ref="E91:F91"/>
    <mergeCell ref="B92:D92"/>
    <mergeCell ref="E92:F92"/>
    <mergeCell ref="B93:D93"/>
    <mergeCell ref="E93:F93"/>
    <mergeCell ref="B94:D94"/>
    <mergeCell ref="E94:F94"/>
    <mergeCell ref="B95:D95"/>
    <mergeCell ref="E95:F95"/>
    <mergeCell ref="B96:D96"/>
    <mergeCell ref="E96:F96"/>
    <mergeCell ref="B97:D97"/>
    <mergeCell ref="E97:F97"/>
    <mergeCell ref="B98:D98"/>
    <mergeCell ref="E98:F98"/>
    <mergeCell ref="B99:D99"/>
    <mergeCell ref="E99:F99"/>
    <mergeCell ref="B100:D100"/>
    <mergeCell ref="E100:F100"/>
    <mergeCell ref="B101:D101"/>
    <mergeCell ref="E101:F101"/>
    <mergeCell ref="B102:D102"/>
    <mergeCell ref="B103:D103"/>
    <mergeCell ref="E103:F103"/>
    <mergeCell ref="B104:D104"/>
    <mergeCell ref="E104:F104"/>
    <mergeCell ref="B105:D105"/>
    <mergeCell ref="E105:F105"/>
    <mergeCell ref="B106:D106"/>
    <mergeCell ref="E106:F106"/>
    <mergeCell ref="B107:D107"/>
    <mergeCell ref="E107:F107"/>
    <mergeCell ref="B108:D108"/>
    <mergeCell ref="E108:F108"/>
    <mergeCell ref="B109:D109"/>
    <mergeCell ref="E109:F109"/>
    <mergeCell ref="B110:D110"/>
    <mergeCell ref="E110:F110"/>
    <mergeCell ref="B111:D111"/>
    <mergeCell ref="E111:F111"/>
    <mergeCell ref="B112:D112"/>
    <mergeCell ref="E112:F112"/>
    <mergeCell ref="B113:D113"/>
    <mergeCell ref="E113:F113"/>
    <mergeCell ref="B114:D114"/>
    <mergeCell ref="E114:F114"/>
    <mergeCell ref="B115:D115"/>
    <mergeCell ref="E115:F115"/>
    <mergeCell ref="B116:D116"/>
    <mergeCell ref="E116:F116"/>
    <mergeCell ref="B117:D117"/>
    <mergeCell ref="E117:F117"/>
    <mergeCell ref="B118:D118"/>
    <mergeCell ref="E118:F118"/>
    <mergeCell ref="B119:D119"/>
    <mergeCell ref="E119:F119"/>
    <mergeCell ref="B120:D120"/>
    <mergeCell ref="E120:F120"/>
    <mergeCell ref="B121:D121"/>
    <mergeCell ref="E121:F121"/>
    <mergeCell ref="B122:D122"/>
    <mergeCell ref="E122:F122"/>
    <mergeCell ref="B123:D123"/>
    <mergeCell ref="E123:F123"/>
    <mergeCell ref="B124:D124"/>
    <mergeCell ref="E124:F124"/>
    <mergeCell ref="B125:D125"/>
    <mergeCell ref="E125:F125"/>
    <mergeCell ref="B126:D126"/>
    <mergeCell ref="E126:F126"/>
    <mergeCell ref="B127:D127"/>
    <mergeCell ref="E127:F127"/>
    <mergeCell ref="B128:D128"/>
    <mergeCell ref="E128:F128"/>
    <mergeCell ref="B129:D129"/>
    <mergeCell ref="E129:F129"/>
    <mergeCell ref="B130:D130"/>
    <mergeCell ref="E130:F130"/>
    <mergeCell ref="B131:D131"/>
    <mergeCell ref="E131:F131"/>
    <mergeCell ref="B132:D132"/>
    <mergeCell ref="E132:F132"/>
    <mergeCell ref="B133:D133"/>
    <mergeCell ref="E133:F133"/>
    <mergeCell ref="B134:D134"/>
    <mergeCell ref="E134:F134"/>
    <mergeCell ref="B135:D135"/>
    <mergeCell ref="E135:F135"/>
    <mergeCell ref="B136:D136"/>
    <mergeCell ref="E136:F136"/>
    <mergeCell ref="B137:D137"/>
    <mergeCell ref="E137:F137"/>
    <mergeCell ref="B138:D138"/>
    <mergeCell ref="E138:F138"/>
    <mergeCell ref="B139:D139"/>
    <mergeCell ref="E139:F139"/>
    <mergeCell ref="B140:D140"/>
    <mergeCell ref="E140:F140"/>
    <mergeCell ref="B141:D141"/>
    <mergeCell ref="E141:F141"/>
    <mergeCell ref="B142:D142"/>
    <mergeCell ref="E142:F142"/>
    <mergeCell ref="B143:D143"/>
    <mergeCell ref="E143:F143"/>
    <mergeCell ref="B144:D144"/>
    <mergeCell ref="E144:F144"/>
    <mergeCell ref="B145:D145"/>
    <mergeCell ref="E145:F145"/>
    <mergeCell ref="B146:D146"/>
    <mergeCell ref="E146:F146"/>
    <mergeCell ref="B147:D147"/>
    <mergeCell ref="E147:F147"/>
    <mergeCell ref="B148:D148"/>
    <mergeCell ref="E148:F148"/>
    <mergeCell ref="B149:D149"/>
    <mergeCell ref="E149:F149"/>
    <mergeCell ref="B150:D150"/>
    <mergeCell ref="E150:F150"/>
    <mergeCell ref="B151:D151"/>
    <mergeCell ref="E151:F151"/>
    <mergeCell ref="B152:D152"/>
    <mergeCell ref="E152:F152"/>
    <mergeCell ref="B153:D153"/>
    <mergeCell ref="E153:F153"/>
    <mergeCell ref="B154:D154"/>
    <mergeCell ref="E154:F154"/>
    <mergeCell ref="B155:D155"/>
    <mergeCell ref="E155:F155"/>
    <mergeCell ref="B156:D156"/>
    <mergeCell ref="E156:F156"/>
    <mergeCell ref="B157:D157"/>
    <mergeCell ref="E157:F157"/>
    <mergeCell ref="B158:D158"/>
    <mergeCell ref="E158:F158"/>
    <mergeCell ref="B159:D159"/>
    <mergeCell ref="E159:F159"/>
    <mergeCell ref="B160:D160"/>
    <mergeCell ref="E160:F160"/>
    <mergeCell ref="B161:D161"/>
    <mergeCell ref="E161:F161"/>
    <mergeCell ref="B162:D162"/>
    <mergeCell ref="E162:F162"/>
    <mergeCell ref="B163:D163"/>
    <mergeCell ref="E163:F163"/>
    <mergeCell ref="B164:D164"/>
    <mergeCell ref="E164:F164"/>
    <mergeCell ref="B165:D165"/>
    <mergeCell ref="E165:F165"/>
    <mergeCell ref="B166:D166"/>
    <mergeCell ref="E166:F166"/>
    <mergeCell ref="B167:D167"/>
    <mergeCell ref="E167:F167"/>
    <mergeCell ref="B168:D168"/>
    <mergeCell ref="E168:F168"/>
    <mergeCell ref="B169:D169"/>
    <mergeCell ref="E169:F169"/>
    <mergeCell ref="B170:D170"/>
    <mergeCell ref="E170:F170"/>
    <mergeCell ref="B171:D171"/>
    <mergeCell ref="E171:F171"/>
    <mergeCell ref="B172:D172"/>
    <mergeCell ref="E172:F172"/>
    <mergeCell ref="B173:D173"/>
    <mergeCell ref="E173:F173"/>
    <mergeCell ref="B174:D174"/>
    <mergeCell ref="E174:F174"/>
    <mergeCell ref="B175:D175"/>
    <mergeCell ref="E175:F175"/>
    <mergeCell ref="B176:D176"/>
    <mergeCell ref="E176:F176"/>
    <mergeCell ref="B177:D177"/>
    <mergeCell ref="E177:F177"/>
    <mergeCell ref="B178:D178"/>
    <mergeCell ref="E178:F178"/>
    <mergeCell ref="B179:D179"/>
    <mergeCell ref="E179:F179"/>
    <mergeCell ref="B180:D180"/>
    <mergeCell ref="E180:F180"/>
    <mergeCell ref="B181:D181"/>
    <mergeCell ref="E181:F181"/>
    <mergeCell ref="B182:D182"/>
    <mergeCell ref="E182:F182"/>
    <mergeCell ref="B183:D183"/>
    <mergeCell ref="E183:F183"/>
    <mergeCell ref="B184:D184"/>
    <mergeCell ref="E184:F184"/>
    <mergeCell ref="B185:D185"/>
    <mergeCell ref="E185:F185"/>
    <mergeCell ref="B186:D186"/>
    <mergeCell ref="E186:F186"/>
    <mergeCell ref="B187:D187"/>
    <mergeCell ref="E187:F187"/>
    <mergeCell ref="B188:D188"/>
    <mergeCell ref="E188:F188"/>
    <mergeCell ref="B194:D194"/>
    <mergeCell ref="E194:F194"/>
    <mergeCell ref="B195:D195"/>
    <mergeCell ref="E195:F195"/>
    <mergeCell ref="B196:D196"/>
    <mergeCell ref="E196:F196"/>
    <mergeCell ref="B189:D189"/>
    <mergeCell ref="E189:F189"/>
    <mergeCell ref="B190:D190"/>
    <mergeCell ref="E190:F190"/>
    <mergeCell ref="B191:D191"/>
    <mergeCell ref="E191:F191"/>
    <mergeCell ref="B192:D192"/>
    <mergeCell ref="E192:F192"/>
    <mergeCell ref="B193:D193"/>
    <mergeCell ref="E193:F193"/>
  </mergeCells>
  <phoneticPr fontId="44" type="noConversion"/>
  <conditionalFormatting sqref="H24:I196">
    <cfRule type="containsText" dxfId="10" priority="1" stopIfTrue="1" operator="containsText" text="FAIL">
      <formula>NOT(ISERROR(SEARCH("FAIL",H24)))</formula>
    </cfRule>
  </conditionalFormatting>
  <conditionalFormatting sqref="D2:D3">
    <cfRule type="expression" dxfId="9" priority="2" stopIfTrue="1">
      <formula>ISERROR($D$2)</formula>
    </cfRule>
  </conditionalFormatting>
  <hyperlinks>
    <hyperlink ref="A14" r:id="rId1"/>
    <hyperlink ref="A18" r:id="rId2"/>
  </hyperlinks>
  <printOptions headings="1" gridLines="1"/>
  <pageMargins left="0.15748031496062992" right="0.15748031496062992" top="0.35433070866141736" bottom="0.35433070866141736" header="0.11811023622047245" footer="0.11811023622047245"/>
  <pageSetup paperSize="8" scale="44" orientation="portrait" r:id="rId3"/>
  <headerFooter alignWithMargins="0">
    <oddHeader>&amp;R&amp;D</oddHeader>
    <oddFooter>&amp;RPage &amp;P of &amp;N, &amp;A</oddFooter>
  </headerFooter>
  <ignoredErrors>
    <ignoredError sqref="H68:H6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58"/>
  <sheetViews>
    <sheetView zoomScale="90" zoomScaleNormal="90" workbookViewId="0">
      <pane ySplit="4" topLeftCell="A21" activePane="bottomLeft" state="frozenSplit"/>
      <selection sqref="A1:XFD1048576"/>
      <selection pane="bottomLeft" activeCell="C34" sqref="C34"/>
    </sheetView>
  </sheetViews>
  <sheetFormatPr defaultColWidth="9.140625" defaultRowHeight="12.75" x14ac:dyDescent="0.2"/>
  <cols>
    <col min="1" max="1" width="9" style="9" customWidth="1"/>
    <col min="2" max="2" width="3.5703125" style="5" customWidth="1"/>
    <col min="3" max="3" width="101.5703125" style="5" customWidth="1"/>
    <col min="4" max="4" width="74.5703125" style="5" hidden="1" customWidth="1"/>
    <col min="5" max="5" width="3.28515625" style="5" hidden="1" customWidth="1"/>
    <col min="6" max="6" width="4.140625" style="5" hidden="1" customWidth="1"/>
    <col min="7" max="7" width="2.7109375" style="5" hidden="1" customWidth="1"/>
    <col min="8" max="8" width="16.42578125" style="5" customWidth="1"/>
    <col min="9" max="9" width="15.42578125" style="5" bestFit="1" customWidth="1"/>
    <col min="10" max="10" width="17" style="5" hidden="1" customWidth="1"/>
    <col min="11" max="12" width="16.140625" style="5" hidden="1" customWidth="1"/>
    <col min="13" max="13" width="6.28515625" style="5" hidden="1" customWidth="1"/>
    <col min="14" max="14" width="124.28515625" style="6" bestFit="1" customWidth="1"/>
    <col min="15" max="15" width="9.42578125" style="6" hidden="1" customWidth="1"/>
    <col min="16" max="18" width="2.140625" style="5" hidden="1" customWidth="1"/>
    <col min="19" max="19" width="14.5703125" style="5" hidden="1" customWidth="1"/>
    <col min="20" max="20" width="5.140625" style="5" hidden="1" customWidth="1"/>
    <col min="21" max="21" width="15.42578125" style="5" hidden="1" customWidth="1"/>
    <col min="22" max="22" width="8" style="4" hidden="1" customWidth="1"/>
    <col min="23" max="23" width="0" style="5" hidden="1" customWidth="1"/>
    <col min="24" max="24" width="9.140625" style="5" customWidth="1"/>
    <col min="25" max="16384" width="9.140625" style="5"/>
  </cols>
  <sheetData>
    <row r="1" spans="1:22" customFormat="1" ht="53.25" customHeight="1" thickBot="1" x14ac:dyDescent="0.3">
      <c r="A1" s="288" t="s">
        <v>707</v>
      </c>
      <c r="B1" s="289" t="s">
        <v>708</v>
      </c>
      <c r="C1" s="289"/>
      <c r="D1" s="289"/>
      <c r="E1" s="289"/>
      <c r="F1" s="289"/>
      <c r="G1" s="289"/>
      <c r="H1" s="290"/>
      <c r="I1" s="291" t="s">
        <v>709</v>
      </c>
      <c r="J1" s="292" t="s">
        <v>709</v>
      </c>
      <c r="L1" s="18"/>
      <c r="M1" s="18"/>
      <c r="S1" s="293" t="str">
        <f>Title_Page!H38</f>
        <v>FAIL</v>
      </c>
      <c r="U1" s="293" t="str">
        <f>Title_Page!H39</f>
        <v>PASS</v>
      </c>
    </row>
    <row r="2" spans="1:22" customFormat="1" ht="42" customHeight="1" x14ac:dyDescent="0.25">
      <c r="A2" s="294"/>
      <c r="B2" s="295" t="str">
        <f>'Hide_me(drop_downs)'!I1</f>
        <v>Year ended 31 July 2020</v>
      </c>
      <c r="C2" s="295"/>
      <c r="D2" s="295"/>
      <c r="E2" s="295"/>
      <c r="F2" s="295"/>
      <c r="G2" s="295"/>
      <c r="H2" s="296"/>
      <c r="I2" s="297" t="s">
        <v>710</v>
      </c>
      <c r="J2" s="297" t="s">
        <v>711</v>
      </c>
      <c r="L2" s="20"/>
      <c r="M2" s="20"/>
      <c r="N2" s="144" t="str">
        <f>'Hide_me(drop_downs)'!I5</f>
        <v>Variance (2019/20 v. 2018/19 restated)</v>
      </c>
      <c r="O2" s="166"/>
      <c r="P2" s="165" t="s">
        <v>712</v>
      </c>
      <c r="Q2" s="70"/>
      <c r="R2" s="70"/>
      <c r="S2" s="132"/>
      <c r="U2" s="5" t="s">
        <v>713</v>
      </c>
    </row>
    <row r="3" spans="1:22" customFormat="1" ht="42" customHeight="1" x14ac:dyDescent="0.25">
      <c r="A3" s="298"/>
      <c r="B3" s="259"/>
      <c r="C3" s="259"/>
      <c r="D3" s="259"/>
      <c r="E3" s="259"/>
      <c r="F3" s="259"/>
      <c r="G3" s="299"/>
      <c r="H3" s="300" t="str">
        <f>'Hide_me(drop_downs)'!I1</f>
        <v>Year ended 31 July 2020</v>
      </c>
      <c r="I3" s="301" t="str">
        <f>'Hide_me(drop_downs)'!J1</f>
        <v>Year ended 31 July 2019</v>
      </c>
      <c r="J3" s="301" t="str">
        <f>'Hide_me(drop_downs)'!J1</f>
        <v>Year ended 31 July 2019</v>
      </c>
      <c r="K3" s="20"/>
      <c r="L3" s="20"/>
      <c r="M3" s="20"/>
      <c r="N3" s="28" t="s">
        <v>714</v>
      </c>
      <c r="O3" s="28"/>
      <c r="P3" s="131"/>
      <c r="S3" s="132"/>
      <c r="U3" s="5" t="s">
        <v>715</v>
      </c>
      <c r="V3" s="302" t="s">
        <v>716</v>
      </c>
    </row>
    <row r="4" spans="1:22" customFormat="1" ht="15.4" customHeight="1" thickBot="1" x14ac:dyDescent="0.3">
      <c r="A4" s="303"/>
      <c r="B4" s="304"/>
      <c r="C4" s="304"/>
      <c r="D4" s="304"/>
      <c r="E4" s="304"/>
      <c r="F4" s="304"/>
      <c r="G4" s="305"/>
      <c r="H4" s="306" t="s">
        <v>717</v>
      </c>
      <c r="I4" s="306" t="s">
        <v>717</v>
      </c>
      <c r="J4" s="306" t="s">
        <v>717</v>
      </c>
      <c r="K4" s="18" t="s">
        <v>717</v>
      </c>
      <c r="L4" s="18" t="s">
        <v>718</v>
      </c>
      <c r="M4" s="18"/>
      <c r="N4" s="29" t="s">
        <v>719</v>
      </c>
      <c r="O4" s="29"/>
      <c r="P4" s="133" t="s">
        <v>720</v>
      </c>
      <c r="S4" s="132"/>
      <c r="U4" s="133" t="s">
        <v>358</v>
      </c>
    </row>
    <row r="5" spans="1:22" customFormat="1" ht="15.75" customHeight="1" thickBot="1" x14ac:dyDescent="0.3">
      <c r="A5" s="307">
        <v>1</v>
      </c>
      <c r="B5" s="308" t="s">
        <v>721</v>
      </c>
      <c r="C5" s="309"/>
      <c r="D5" s="309"/>
      <c r="E5" s="309"/>
      <c r="F5" s="309"/>
      <c r="G5" s="310"/>
      <c r="H5" s="311"/>
      <c r="I5" s="312"/>
      <c r="J5" s="312"/>
      <c r="K5" s="30" t="s">
        <v>358</v>
      </c>
      <c r="L5" s="30" t="s">
        <v>358</v>
      </c>
      <c r="M5" s="30"/>
      <c r="N5" s="24" t="s">
        <v>722</v>
      </c>
      <c r="O5" s="24"/>
      <c r="P5" s="134"/>
      <c r="Q5" s="135"/>
      <c r="R5" s="135"/>
      <c r="S5" s="293" t="str">
        <f>IF(S1="FAIL","Head","")</f>
        <v>Head</v>
      </c>
      <c r="U5" s="293" t="str">
        <f>IF(U1="FAIL","Head","")</f>
        <v/>
      </c>
    </row>
    <row r="6" spans="1:22" customFormat="1" ht="12.75" customHeight="1" thickBot="1" x14ac:dyDescent="0.3">
      <c r="A6" s="307" t="s">
        <v>723</v>
      </c>
      <c r="B6" s="313"/>
      <c r="C6" s="314" t="s">
        <v>724</v>
      </c>
      <c r="D6" s="314"/>
      <c r="E6" s="315"/>
      <c r="F6" s="315"/>
      <c r="G6" s="316"/>
      <c r="H6" s="44">
        <f>Table_6_UK!H5</f>
        <v>390583</v>
      </c>
      <c r="I6" s="8">
        <v>346850</v>
      </c>
      <c r="J6" s="317">
        <v>346850</v>
      </c>
      <c r="K6" s="7">
        <f t="shared" ref="K6:K12" si="0">H6-I6</f>
        <v>43733</v>
      </c>
      <c r="L6" s="7">
        <f t="shared" ref="L6:L12" si="1">IF(AND(OR(H6=0,I6&lt;&gt;0),OR(I6=0,H6&lt;&gt;0)),IF((H6+I6+K6&lt;&gt;0),IF(AND(OR(H6&gt;0,I6&lt;0),OR(I6&gt;0,H6&lt;0)),ABS(K6/MIN(ABS(I6),ABS(H6))),10),"-"),10)</f>
        <v>0.12608620441112872</v>
      </c>
      <c r="M6" s="7"/>
      <c r="N6" s="145"/>
      <c r="O6" s="149"/>
    </row>
    <row r="7" spans="1:22" customFormat="1" ht="12.75" customHeight="1" thickBot="1" x14ac:dyDescent="0.3">
      <c r="A7" s="307" t="s">
        <v>725</v>
      </c>
      <c r="B7" s="313"/>
      <c r="C7" s="35" t="s">
        <v>726</v>
      </c>
      <c r="D7" s="314"/>
      <c r="E7" s="315"/>
      <c r="F7" s="315"/>
      <c r="G7" s="316"/>
      <c r="H7" s="44">
        <f>Table_6_UK!H7</f>
        <v>190823</v>
      </c>
      <c r="I7" s="21">
        <v>195819</v>
      </c>
      <c r="J7" s="318">
        <v>195819</v>
      </c>
      <c r="K7" s="163">
        <f t="shared" si="0"/>
        <v>-4996</v>
      </c>
      <c r="L7" s="164">
        <f t="shared" si="1"/>
        <v>2.6181330342778385E-2</v>
      </c>
      <c r="M7" s="7"/>
      <c r="N7" s="146"/>
      <c r="O7" s="319"/>
      <c r="P7" s="5">
        <f>IF(AND(K7&gt;750,L7&gt;2),1,0)</f>
        <v>0</v>
      </c>
      <c r="Q7" s="5">
        <f>IF(AND(K7&lt;-750,L7&gt;2),1,0)</f>
        <v>0</v>
      </c>
      <c r="R7" s="5">
        <f>SUM(P7:Q7)</f>
        <v>0</v>
      </c>
      <c r="S7" s="156" t="str">
        <f>IF(R7&lt;&gt;0,A7&amp;" ("&amp;H7&amp;", "&amp;I7&amp;")"&amp;", ","")</f>
        <v/>
      </c>
      <c r="U7" s="156" t="str">
        <f>IF(I7&lt;&gt;J7,A7&amp;" ("&amp;I7&amp;", "&amp;J7&amp;")"&amp;", ","")</f>
        <v/>
      </c>
    </row>
    <row r="8" spans="1:22" customFormat="1" ht="12.75" customHeight="1" thickBot="1" x14ac:dyDescent="0.3">
      <c r="A8" s="307" t="s">
        <v>727</v>
      </c>
      <c r="B8" s="313"/>
      <c r="C8" s="35" t="s">
        <v>728</v>
      </c>
      <c r="D8" s="314"/>
      <c r="E8" s="315"/>
      <c r="F8" s="315"/>
      <c r="G8" s="316"/>
      <c r="H8" s="44">
        <f>Table_6_UK!H37</f>
        <v>296135</v>
      </c>
      <c r="I8" s="21">
        <v>285654</v>
      </c>
      <c r="J8" s="320">
        <v>285654</v>
      </c>
      <c r="K8" s="7">
        <f t="shared" si="0"/>
        <v>10481</v>
      </c>
      <c r="L8" s="7">
        <f t="shared" si="1"/>
        <v>3.6691241852030779E-2</v>
      </c>
      <c r="M8" s="7"/>
      <c r="N8" s="147"/>
      <c r="O8" s="149"/>
    </row>
    <row r="9" spans="1:22" customFormat="1" ht="12.75" customHeight="1" thickBot="1" x14ac:dyDescent="0.3">
      <c r="A9" s="307" t="s">
        <v>729</v>
      </c>
      <c r="B9" s="313"/>
      <c r="C9" s="35" t="s">
        <v>730</v>
      </c>
      <c r="D9" s="314"/>
      <c r="E9" s="315"/>
      <c r="F9" s="315"/>
      <c r="G9" s="316"/>
      <c r="H9" s="44">
        <f>Table_6_UK!H55</f>
        <v>192363</v>
      </c>
      <c r="I9" s="21">
        <v>234018</v>
      </c>
      <c r="J9" s="318">
        <v>234018</v>
      </c>
      <c r="K9" s="163">
        <f t="shared" si="0"/>
        <v>-41655</v>
      </c>
      <c r="L9" s="164">
        <f t="shared" si="1"/>
        <v>0.21654372202554545</v>
      </c>
      <c r="M9" s="7"/>
      <c r="N9" s="146"/>
      <c r="O9" s="319"/>
      <c r="P9" s="5">
        <f>IF(AND(K9&gt;750,L9&gt;2),1,0)</f>
        <v>0</v>
      </c>
      <c r="Q9" s="5">
        <f>IF(AND(K9&lt;-750,L9&gt;2),1,0)</f>
        <v>0</v>
      </c>
      <c r="R9" s="5">
        <f>SUM(P9:Q9)</f>
        <v>0</v>
      </c>
      <c r="S9" s="156" t="str">
        <f>IF(R9&lt;&gt;0,A9&amp;" ("&amp;H9&amp;", "&amp;I9&amp;")"&amp;", ","")</f>
        <v/>
      </c>
      <c r="U9" s="156" t="str">
        <f>IF(I9&lt;&gt;J9,A9&amp;" ("&amp;I9&amp;", "&amp;J9&amp;")"&amp;", ","")</f>
        <v/>
      </c>
    </row>
    <row r="10" spans="1:22" customFormat="1" ht="12.75" customHeight="1" thickBot="1" x14ac:dyDescent="0.3">
      <c r="A10" s="307" t="s">
        <v>731</v>
      </c>
      <c r="B10" s="313"/>
      <c r="C10" s="35" t="s">
        <v>732</v>
      </c>
      <c r="D10" s="314"/>
      <c r="E10" s="315"/>
      <c r="F10" s="315"/>
      <c r="G10" s="316"/>
      <c r="H10" s="44">
        <f>Table_6_UK!H57</f>
        <v>17596</v>
      </c>
      <c r="I10" s="21">
        <v>17413</v>
      </c>
      <c r="J10" s="318">
        <v>17413</v>
      </c>
      <c r="K10" s="163">
        <f t="shared" si="0"/>
        <v>183</v>
      </c>
      <c r="L10" s="164">
        <f t="shared" si="1"/>
        <v>1.050938953655315E-2</v>
      </c>
      <c r="M10" s="7"/>
      <c r="N10" s="146"/>
      <c r="O10" s="319"/>
      <c r="P10" s="5">
        <f>IF(AND(K10&gt;750,L10&gt;2),1,0)</f>
        <v>0</v>
      </c>
      <c r="Q10" s="5">
        <f>IF(AND(K10&lt;-750,L10&gt;2),1,0)</f>
        <v>0</v>
      </c>
      <c r="R10" s="5">
        <f>SUM(P10:Q10)</f>
        <v>0</v>
      </c>
      <c r="S10" s="156" t="str">
        <f>IF(R10&lt;&gt;0,A10&amp;" ("&amp;H10&amp;", "&amp;I10&amp;")"&amp;", ","")</f>
        <v/>
      </c>
      <c r="U10" s="156" t="str">
        <f>IF(I10&lt;&gt;J10,A10&amp;" ("&amp;I10&amp;", "&amp;J10&amp;")"&amp;", ","")</f>
        <v/>
      </c>
    </row>
    <row r="11" spans="1:22" customFormat="1" ht="12.75" customHeight="1" thickBot="1" x14ac:dyDescent="0.3">
      <c r="A11" s="307" t="s">
        <v>733</v>
      </c>
      <c r="B11" s="313"/>
      <c r="C11" s="34" t="s">
        <v>734</v>
      </c>
      <c r="D11" s="315"/>
      <c r="E11" s="315"/>
      <c r="F11" s="315"/>
      <c r="G11" s="316"/>
      <c r="H11" s="44">
        <f>Table_6_UK!H65</f>
        <v>37821</v>
      </c>
      <c r="I11" s="21">
        <v>21750</v>
      </c>
      <c r="J11" s="318">
        <v>21750</v>
      </c>
      <c r="K11" s="163">
        <f t="shared" si="0"/>
        <v>16071</v>
      </c>
      <c r="L11" s="164">
        <f t="shared" si="1"/>
        <v>0.73889655172413793</v>
      </c>
      <c r="M11" s="7"/>
      <c r="N11" s="146"/>
      <c r="O11" s="319"/>
      <c r="P11" s="5">
        <f>IF(AND(K11&gt;750,L11&gt;2),1,0)</f>
        <v>0</v>
      </c>
      <c r="Q11" s="5">
        <f>IF(AND(K11&lt;-750,L11&gt;2),1,0)</f>
        <v>0</v>
      </c>
      <c r="R11" s="5">
        <f>SUM(P11:Q11)</f>
        <v>0</v>
      </c>
      <c r="S11" s="155" t="str">
        <f>IF(R11&lt;&gt;0,A11&amp;" ("&amp;H11&amp;", "&amp;I11&amp;")"&amp;", ","")</f>
        <v/>
      </c>
      <c r="U11" s="156" t="str">
        <f>IF(I11&lt;&gt;J11,A11&amp;" ("&amp;I11&amp;", "&amp;J11&amp;")"&amp;", ","")</f>
        <v/>
      </c>
    </row>
    <row r="12" spans="1:22" customFormat="1" ht="12.75" customHeight="1" x14ac:dyDescent="0.25">
      <c r="A12" s="307" t="s">
        <v>735</v>
      </c>
      <c r="B12" s="321" t="s">
        <v>736</v>
      </c>
      <c r="C12" s="322"/>
      <c r="D12" s="322"/>
      <c r="E12" s="322"/>
      <c r="F12" s="322"/>
      <c r="G12" s="323"/>
      <c r="H12" s="324">
        <f>SUM(H6:H11)</f>
        <v>1125321</v>
      </c>
      <c r="I12" s="324">
        <f>SUM(I6:I11)</f>
        <v>1101504</v>
      </c>
      <c r="J12" s="324">
        <f>SUM(J6:J11)</f>
        <v>1101504</v>
      </c>
      <c r="K12" s="7">
        <f t="shared" si="0"/>
        <v>23817</v>
      </c>
      <c r="L12" s="7">
        <f t="shared" si="1"/>
        <v>2.1622254662715706E-2</v>
      </c>
      <c r="M12" s="7"/>
      <c r="N12" s="148"/>
      <c r="O12" s="149"/>
    </row>
    <row r="13" spans="1:22" customFormat="1" ht="12.75" customHeight="1" x14ac:dyDescent="0.25">
      <c r="A13" s="307"/>
      <c r="B13" s="325"/>
      <c r="C13" s="326"/>
      <c r="D13" s="326"/>
      <c r="E13" s="326"/>
      <c r="F13" s="326"/>
      <c r="G13" s="327"/>
      <c r="H13" s="328"/>
      <c r="I13" s="328"/>
      <c r="J13" s="328"/>
      <c r="N13" s="6"/>
      <c r="O13" s="6"/>
    </row>
    <row r="14" spans="1:22" customFormat="1" ht="12.75" customHeight="1" x14ac:dyDescent="0.25">
      <c r="A14" s="307">
        <v>2</v>
      </c>
      <c r="B14" s="308" t="s">
        <v>737</v>
      </c>
      <c r="C14" s="309"/>
      <c r="D14" s="309"/>
      <c r="E14" s="309"/>
      <c r="F14" s="309"/>
      <c r="G14" s="310"/>
      <c r="H14" s="329"/>
      <c r="I14" s="329"/>
      <c r="J14" s="329"/>
      <c r="N14" s="6"/>
      <c r="O14" s="6"/>
      <c r="V14" s="4"/>
    </row>
    <row r="15" spans="1:22" customFormat="1" ht="12.75" customHeight="1" thickBot="1" x14ac:dyDescent="0.3">
      <c r="A15" s="307" t="s">
        <v>738</v>
      </c>
      <c r="B15" s="313"/>
      <c r="C15" s="326" t="s">
        <v>739</v>
      </c>
      <c r="D15" s="315"/>
      <c r="E15" s="315"/>
      <c r="F15" s="315"/>
      <c r="G15" s="316"/>
      <c r="H15" s="44">
        <f>Table_7_UK!J106</f>
        <v>468944</v>
      </c>
      <c r="I15" s="21">
        <v>756130</v>
      </c>
      <c r="J15" s="320">
        <v>756130</v>
      </c>
      <c r="K15" s="7">
        <f t="shared" ref="K15:K20" si="2">H15-I15</f>
        <v>-287186</v>
      </c>
      <c r="L15" s="7">
        <f t="shared" ref="L15:L20" si="3">IF(AND(OR(H15=0,I15&lt;&gt;0),OR(I15=0,H15&lt;&gt;0)),IF((H15+I15+K15&lt;&gt;0),IF(AND(OR(H15&gt;0,I15&lt;0),OR(I15&gt;0,H15&lt;0)),ABS(K15/MIN(ABS(I15),ABS(H15))),10),"-"),10)</f>
        <v>0.61241001057695588</v>
      </c>
      <c r="M15" s="7"/>
      <c r="N15" s="145"/>
      <c r="O15" s="149"/>
      <c r="V15" s="4"/>
    </row>
    <row r="16" spans="1:22" customFormat="1" ht="12.75" customHeight="1" thickBot="1" x14ac:dyDescent="0.3">
      <c r="A16" s="307" t="s">
        <v>740</v>
      </c>
      <c r="B16" s="313"/>
      <c r="C16" s="330" t="s">
        <v>741</v>
      </c>
      <c r="D16" s="315"/>
      <c r="E16" s="315"/>
      <c r="F16" s="315"/>
      <c r="G16" s="316"/>
      <c r="H16" s="44">
        <f>Table_7_UK!K106</f>
        <v>0</v>
      </c>
      <c r="I16" s="21">
        <v>0</v>
      </c>
      <c r="J16" s="318">
        <v>0</v>
      </c>
      <c r="K16" s="163">
        <f t="shared" si="2"/>
        <v>0</v>
      </c>
      <c r="L16" s="164" t="str">
        <f t="shared" si="3"/>
        <v>-</v>
      </c>
      <c r="M16" s="7"/>
      <c r="N16" s="146"/>
      <c r="O16" s="319"/>
      <c r="P16" s="5">
        <f>IF(AND(K16&gt;750,L16&gt;2),1,0)</f>
        <v>0</v>
      </c>
      <c r="Q16" s="5">
        <f>IF(AND(K16&lt;-750,L16&gt;2),1,0)</f>
        <v>0</v>
      </c>
      <c r="R16" s="5">
        <f>SUM(P16:Q16)</f>
        <v>0</v>
      </c>
      <c r="S16" s="156" t="str">
        <f>IF(R16&lt;&gt;0,A16&amp;" ("&amp;H16&amp;", "&amp;I16&amp;")"&amp;", ","")</f>
        <v/>
      </c>
      <c r="U16" s="156" t="str">
        <f>IF(I16&lt;&gt;J16,A16&amp;" ("&amp;I16&amp;", "&amp;J16&amp;")"&amp;", ","")</f>
        <v/>
      </c>
      <c r="V16" s="157"/>
    </row>
    <row r="17" spans="1:22" customFormat="1" ht="12.75" customHeight="1" thickBot="1" x14ac:dyDescent="0.3">
      <c r="A17" s="307" t="s">
        <v>742</v>
      </c>
      <c r="B17" s="11"/>
      <c r="C17" s="327" t="s">
        <v>743</v>
      </c>
      <c r="D17" s="315"/>
      <c r="E17" s="315"/>
      <c r="F17" s="315"/>
      <c r="G17" s="316"/>
      <c r="H17" s="44">
        <f>Table_7_UK!L106</f>
        <v>380458</v>
      </c>
      <c r="I17" s="21">
        <v>383033</v>
      </c>
      <c r="J17" s="320">
        <v>383033</v>
      </c>
      <c r="K17" s="7">
        <f t="shared" si="2"/>
        <v>-2575</v>
      </c>
      <c r="L17" s="7">
        <f t="shared" si="3"/>
        <v>6.7681583775344454E-3</v>
      </c>
      <c r="M17" s="7"/>
      <c r="N17" s="147"/>
      <c r="O17" s="149"/>
      <c r="V17" s="4"/>
    </row>
    <row r="18" spans="1:22" customFormat="1" ht="12.75" customHeight="1" thickBot="1" x14ac:dyDescent="0.3">
      <c r="A18" s="307" t="s">
        <v>744</v>
      </c>
      <c r="B18" s="331"/>
      <c r="C18" s="332" t="s">
        <v>745</v>
      </c>
      <c r="D18" s="333"/>
      <c r="E18" s="333"/>
      <c r="F18" s="333"/>
      <c r="G18" s="334"/>
      <c r="H18" s="44">
        <f>Table_7_UK!M106</f>
        <v>60930</v>
      </c>
      <c r="I18" s="21">
        <v>63758</v>
      </c>
      <c r="J18" s="318">
        <v>63758</v>
      </c>
      <c r="K18" s="163">
        <f t="shared" si="2"/>
        <v>-2828</v>
      </c>
      <c r="L18" s="164">
        <f t="shared" si="3"/>
        <v>4.6413917610372557E-2</v>
      </c>
      <c r="M18" s="7"/>
      <c r="N18" s="146"/>
      <c r="O18" s="319"/>
      <c r="P18" s="5">
        <f>IF(AND(K18&gt;750,L18&gt;2),1,0)</f>
        <v>0</v>
      </c>
      <c r="Q18" s="5">
        <f>IF(AND(K18&lt;-750,L18&gt;2),1,0)</f>
        <v>0</v>
      </c>
      <c r="R18" s="5">
        <f>SUM(P18:Q18)</f>
        <v>0</v>
      </c>
      <c r="S18" s="156" t="str">
        <f>IF(R18&lt;&gt;0,A18&amp;" ("&amp;H18&amp;", "&amp;I18&amp;")"&amp;", ","")</f>
        <v/>
      </c>
      <c r="U18" s="156" t="str">
        <f>IF(I18&lt;&gt;J18,A18&amp;" ("&amp;I18&amp;", "&amp;J18&amp;")"&amp;", ","")</f>
        <v/>
      </c>
      <c r="V18" s="157"/>
    </row>
    <row r="19" spans="1:22" customFormat="1" ht="12.75" customHeight="1" thickBot="1" x14ac:dyDescent="0.3">
      <c r="A19" s="307" t="s">
        <v>746</v>
      </c>
      <c r="B19" s="11"/>
      <c r="C19" s="327" t="s">
        <v>747</v>
      </c>
      <c r="D19" s="315"/>
      <c r="E19" s="315"/>
      <c r="F19" s="315"/>
      <c r="G19" s="316"/>
      <c r="H19" s="44">
        <f>Table_7_UK!N106</f>
        <v>23379</v>
      </c>
      <c r="I19" s="21">
        <v>33014</v>
      </c>
      <c r="J19" s="318">
        <v>33014</v>
      </c>
      <c r="K19" s="163">
        <f t="shared" si="2"/>
        <v>-9635</v>
      </c>
      <c r="L19" s="164">
        <f t="shared" si="3"/>
        <v>0.41212198981992387</v>
      </c>
      <c r="M19" s="7"/>
      <c r="N19" s="146"/>
      <c r="O19" s="319"/>
      <c r="P19" s="5">
        <f>IF(AND(K19&gt;750,L19&gt;2),1,0)</f>
        <v>0</v>
      </c>
      <c r="Q19" s="5">
        <f>IF(AND(K19&lt;-750,L19&gt;2),1,0)</f>
        <v>0</v>
      </c>
      <c r="R19" s="5">
        <f>SUM(P19:Q19)</f>
        <v>0</v>
      </c>
      <c r="S19" s="155" t="str">
        <f>IF(R19&lt;&gt;0,A19&amp;" ("&amp;H19&amp;", "&amp;I19&amp;")"&amp;", ","")</f>
        <v/>
      </c>
      <c r="U19" s="156" t="str">
        <f>IF(I19&lt;&gt;J19,A19&amp;" ("&amp;I19&amp;", "&amp;J19&amp;")"&amp;", ","")</f>
        <v/>
      </c>
      <c r="V19" s="4"/>
    </row>
    <row r="20" spans="1:22" customFormat="1" ht="12.75" customHeight="1" x14ac:dyDescent="0.25">
      <c r="A20" s="307" t="s">
        <v>748</v>
      </c>
      <c r="B20" s="335" t="s">
        <v>749</v>
      </c>
      <c r="C20" s="336"/>
      <c r="D20" s="336"/>
      <c r="E20" s="336"/>
      <c r="F20" s="336"/>
      <c r="G20" s="337"/>
      <c r="H20" s="324">
        <f>SUM(H15:H19)</f>
        <v>933711</v>
      </c>
      <c r="I20" s="324">
        <f>SUM(I15:I19)</f>
        <v>1235935</v>
      </c>
      <c r="J20" s="324">
        <f>SUM(J15:J19)</f>
        <v>1235935</v>
      </c>
      <c r="K20" s="7">
        <f t="shared" si="2"/>
        <v>-302224</v>
      </c>
      <c r="L20" s="7">
        <f t="shared" si="3"/>
        <v>0.3236804535878875</v>
      </c>
      <c r="M20" s="7"/>
      <c r="N20" s="148"/>
      <c r="O20" s="149"/>
      <c r="V20" s="4"/>
    </row>
    <row r="21" spans="1:22" customFormat="1" ht="12.75" customHeight="1" x14ac:dyDescent="0.25">
      <c r="A21" s="307"/>
      <c r="B21" s="12"/>
      <c r="C21" s="315"/>
      <c r="D21" s="315"/>
      <c r="E21" s="315"/>
      <c r="F21" s="315"/>
      <c r="G21" s="316"/>
      <c r="H21" s="2"/>
      <c r="I21" s="2"/>
      <c r="J21" s="2"/>
      <c r="N21" s="6"/>
      <c r="O21" s="6"/>
      <c r="V21" s="4"/>
    </row>
    <row r="22" spans="1:22" x14ac:dyDescent="0.2">
      <c r="A22" s="307">
        <v>3</v>
      </c>
      <c r="B22" s="338" t="s">
        <v>750</v>
      </c>
      <c r="C22" s="339"/>
      <c r="D22" s="339"/>
      <c r="E22" s="339"/>
      <c r="F22" s="339"/>
      <c r="G22" s="340"/>
      <c r="H22" s="324">
        <f>H12-H20</f>
        <v>191610</v>
      </c>
      <c r="I22" s="324">
        <f>I12-I20</f>
        <v>-134431</v>
      </c>
      <c r="J22" s="324">
        <f>J12-J20</f>
        <v>-134431</v>
      </c>
      <c r="K22" s="7">
        <f>H22-I22</f>
        <v>326041</v>
      </c>
      <c r="L22" s="7">
        <f>IF(AND(OR(H22=0,I22&lt;&gt;0),OR(I22=0,H22&lt;&gt;0)),IF((H22+I22+K22&lt;&gt;0),IF(AND(OR(H22&gt;0,I22&lt;0),OR(I22&gt;0,H22&lt;0)),ABS(K22/MIN(ABS(I22),ABS(H22))),10),"-"),10)</f>
        <v>10</v>
      </c>
      <c r="M22" s="7"/>
      <c r="N22" s="149"/>
      <c r="O22" s="149"/>
    </row>
    <row r="23" spans="1:22" customFormat="1" ht="12.75" customHeight="1" thickBot="1" x14ac:dyDescent="0.3">
      <c r="A23" s="307"/>
      <c r="B23" s="325"/>
      <c r="C23" s="326"/>
      <c r="D23" s="326"/>
      <c r="E23" s="326"/>
      <c r="F23" s="326"/>
      <c r="G23" s="327"/>
      <c r="H23" s="328"/>
      <c r="I23" s="328"/>
      <c r="J23" s="328"/>
      <c r="N23" s="145"/>
      <c r="O23" s="149"/>
      <c r="V23" s="4"/>
    </row>
    <row r="24" spans="1:22" customFormat="1" ht="12.75" customHeight="1" thickBot="1" x14ac:dyDescent="0.3">
      <c r="A24" s="307">
        <v>4</v>
      </c>
      <c r="B24" s="341" t="s">
        <v>751</v>
      </c>
      <c r="C24" s="342"/>
      <c r="D24" s="343"/>
      <c r="E24" s="343"/>
      <c r="F24" s="343"/>
      <c r="G24" s="344"/>
      <c r="H24" s="320">
        <v>431</v>
      </c>
      <c r="I24" s="320">
        <v>4560</v>
      </c>
      <c r="J24" s="318">
        <v>4560</v>
      </c>
      <c r="K24" s="163">
        <f>H24-I24</f>
        <v>-4129</v>
      </c>
      <c r="L24" s="164">
        <f>IF(AND(OR(H24=0,I24&lt;&gt;0),OR(I24=0,H24&lt;&gt;0)),IF((H24+I24+K24&lt;&gt;0),IF(AND(OR(H24&gt;0,I24&lt;0),OR(I24&gt;0,H24&lt;0)),ABS(K24/MIN(ABS(I24),ABS(H24))),10),"-"),10)</f>
        <v>9.5800464037122968</v>
      </c>
      <c r="M24" s="7"/>
      <c r="N24" s="146" t="s">
        <v>11</v>
      </c>
      <c r="O24" s="319"/>
      <c r="P24" s="5">
        <f>IF(AND(K24&gt;750,L24&gt;2),1,0)</f>
        <v>0</v>
      </c>
      <c r="Q24" s="5">
        <f>IF(AND(K24&lt;-750,L24&gt;2),1,0)</f>
        <v>1</v>
      </c>
      <c r="R24" s="5">
        <f>SUM(P24:Q24)</f>
        <v>1</v>
      </c>
      <c r="S24" s="156" t="str">
        <f>IF(R24&lt;&gt;0,A24&amp;" ("&amp;H24&amp;", "&amp;I24&amp;")"&amp;", ","")</f>
        <v xml:space="preserve">4 (431, 4560), </v>
      </c>
      <c r="U24" s="156" t="str">
        <f>IF(I24&lt;&gt;J24,A24&amp;" ("&amp;I24&amp;", "&amp;J24&amp;")"&amp;", ","")</f>
        <v/>
      </c>
      <c r="V24" s="4"/>
    </row>
    <row r="25" spans="1:22" customFormat="1" ht="12.75" customHeight="1" thickBot="1" x14ac:dyDescent="0.3">
      <c r="A25" s="345">
        <v>5</v>
      </c>
      <c r="B25" s="341" t="s">
        <v>752</v>
      </c>
      <c r="C25" s="342"/>
      <c r="D25" s="342"/>
      <c r="E25" s="342"/>
      <c r="F25" s="342"/>
      <c r="G25" s="346"/>
      <c r="H25" s="320">
        <v>0</v>
      </c>
      <c r="I25" s="320">
        <v>0</v>
      </c>
      <c r="J25" s="347">
        <v>0</v>
      </c>
      <c r="K25" s="7">
        <f>H25-I25</f>
        <v>0</v>
      </c>
      <c r="L25" s="7" t="str">
        <f>IF(AND(OR(H25=0,I25&lt;&gt;0),OR(I25=0,H25&lt;&gt;0)),IF((H25+I25+K25&lt;&gt;0),IF(AND(OR(H25&gt;0,I25&lt;0),OR(I25&gt;0,H25&lt;0)),ABS(K25/MIN(ABS(I25),ABS(H25))),10),"-"),10)</f>
        <v>-</v>
      </c>
      <c r="M25" s="7"/>
      <c r="N25" s="149"/>
      <c r="O25" s="149"/>
    </row>
    <row r="26" spans="1:22" customFormat="1" ht="12.75" customHeight="1" thickBot="1" x14ac:dyDescent="0.3">
      <c r="A26" s="345">
        <v>6</v>
      </c>
      <c r="B26" s="341" t="s">
        <v>753</v>
      </c>
      <c r="C26" s="342"/>
      <c r="D26" s="342"/>
      <c r="E26" s="342"/>
      <c r="F26" s="342"/>
      <c r="G26" s="346"/>
      <c r="H26" s="320">
        <v>11482</v>
      </c>
      <c r="I26" s="320">
        <v>36784</v>
      </c>
      <c r="J26" s="318">
        <v>36784</v>
      </c>
      <c r="K26" s="163">
        <f>H26-I26</f>
        <v>-25302</v>
      </c>
      <c r="L26" s="164">
        <f>IF(AND(OR(H26=0,I26&lt;&gt;0),OR(I26=0,H26&lt;&gt;0)),IF((H26+I26+K26&lt;&gt;0),IF(AND(OR(H26&gt;0,I26&lt;0),OR(I26&gt;0,H26&lt;0)),ABS(K26/MIN(ABS(I26),ABS(H26))),10),"-"),10)</f>
        <v>2.2036230621842883</v>
      </c>
      <c r="M26" s="7"/>
      <c r="N26" s="146" t="s">
        <v>10</v>
      </c>
      <c r="O26" s="319"/>
      <c r="P26" s="5">
        <f>IF(AND(K26&gt;750,L26&gt;2),1,0)</f>
        <v>0</v>
      </c>
      <c r="Q26" s="5">
        <f>IF(AND(K26&lt;-750,L26&gt;2),1,0)</f>
        <v>1</v>
      </c>
      <c r="R26" s="5">
        <f>SUM(P26:Q26)</f>
        <v>1</v>
      </c>
      <c r="S26" s="156" t="str">
        <f>IF(R26&lt;&gt;0,A26&amp;" ("&amp;H26&amp;", "&amp;I26&amp;")"&amp;", ","")</f>
        <v xml:space="preserve">6 (11482, 36784), </v>
      </c>
      <c r="U26" s="156" t="str">
        <f>IF(I26&lt;&gt;J26,A26&amp;" ("&amp;I26&amp;", "&amp;J26&amp;")"&amp;", ","")</f>
        <v/>
      </c>
    </row>
    <row r="27" spans="1:22" customFormat="1" ht="12.75" customHeight="1" thickBot="1" x14ac:dyDescent="0.3">
      <c r="A27" s="345">
        <v>7</v>
      </c>
      <c r="B27" s="348" t="s">
        <v>754</v>
      </c>
      <c r="C27" s="330"/>
      <c r="D27" s="330"/>
      <c r="E27" s="330"/>
      <c r="F27" s="330"/>
      <c r="G27" s="332"/>
      <c r="H27" s="320">
        <v>0</v>
      </c>
      <c r="I27" s="320">
        <v>0</v>
      </c>
      <c r="J27" s="318">
        <v>0</v>
      </c>
      <c r="K27" s="163">
        <f>H27-I27</f>
        <v>0</v>
      </c>
      <c r="L27" s="164" t="str">
        <f>IF(AND(OR(H27=0,I27&lt;&gt;0),OR(I27=0,H27&lt;&gt;0)),IF((H27+I27+K27&lt;&gt;0),IF(AND(OR(H27&gt;0,I27&lt;0),OR(I27&gt;0,H27&lt;0)),ABS(K27/MIN(ABS(I27),ABS(H27))),10),"-"),10)</f>
        <v>-</v>
      </c>
      <c r="M27" s="7"/>
      <c r="N27" s="146"/>
      <c r="O27" s="319"/>
      <c r="P27" s="5">
        <f>IF(AND(K27&gt;750,L27&gt;2),1,0)</f>
        <v>0</v>
      </c>
      <c r="Q27" s="5">
        <f>IF(AND(K27&lt;-750,L27&gt;2),1,0)</f>
        <v>0</v>
      </c>
      <c r="R27" s="5">
        <f>SUM(P27:Q27)</f>
        <v>0</v>
      </c>
      <c r="S27" s="156" t="str">
        <f>IF(R27&lt;&gt;0,A27&amp;" ("&amp;H27&amp;", "&amp;I27&amp;")"&amp;", ","")</f>
        <v/>
      </c>
      <c r="U27" s="156" t="str">
        <f>IF(I27&lt;&gt;J27,A27&amp;" ("&amp;I27&amp;", "&amp;J27&amp;")"&amp;", ","")</f>
        <v/>
      </c>
    </row>
    <row r="28" spans="1:22" customFormat="1" ht="12.75" customHeight="1" thickBot="1" x14ac:dyDescent="0.3">
      <c r="A28" s="345">
        <v>8</v>
      </c>
      <c r="B28" s="348" t="s">
        <v>755</v>
      </c>
      <c r="C28" s="330"/>
      <c r="D28" s="330"/>
      <c r="E28" s="330"/>
      <c r="F28" s="330"/>
      <c r="G28" s="332"/>
      <c r="H28" s="320">
        <v>0</v>
      </c>
      <c r="I28" s="320">
        <v>0</v>
      </c>
      <c r="J28" s="318">
        <v>0</v>
      </c>
      <c r="K28" s="163">
        <f>H28-I28</f>
        <v>0</v>
      </c>
      <c r="L28" s="164" t="str">
        <f>IF(AND(OR(H28=0,I28&lt;&gt;0),OR(I28=0,H28&lt;&gt;0)),IF((H28+I28+K28&lt;&gt;0),IF(AND(OR(H28&gt;0,I28&lt;0),OR(I28&gt;0,H28&lt;0)),ABS(K28/MIN(ABS(I28),ABS(H28))),10),"-"),10)</f>
        <v>-</v>
      </c>
      <c r="M28" s="7"/>
      <c r="N28" s="146"/>
      <c r="O28" s="319"/>
      <c r="P28" s="5">
        <f>IF(AND(K28&gt;750,L28&gt;2),1,0)</f>
        <v>0</v>
      </c>
      <c r="Q28" s="5">
        <f>IF(AND(K28&lt;-750,L28&gt;2),1,0)</f>
        <v>0</v>
      </c>
      <c r="R28" s="5">
        <f>SUM(P28:Q28)</f>
        <v>0</v>
      </c>
      <c r="S28" s="155" t="str">
        <f>IF(R28&lt;&gt;0,A28&amp;" ("&amp;H28&amp;", "&amp;I28&amp;")"&amp;", ","")</f>
        <v/>
      </c>
      <c r="U28" s="156" t="str">
        <f>IF(I28&lt;&gt;J28,A28&amp;" ("&amp;I28&amp;", "&amp;J28&amp;")"&amp;", ","")</f>
        <v/>
      </c>
    </row>
    <row r="29" spans="1:22" customFormat="1" ht="12.75" customHeight="1" x14ac:dyDescent="0.25">
      <c r="A29" s="345"/>
      <c r="B29" s="348"/>
      <c r="C29" s="330"/>
      <c r="D29" s="326"/>
      <c r="E29" s="326"/>
      <c r="F29" s="326"/>
      <c r="G29" s="327"/>
      <c r="H29" s="328"/>
      <c r="I29" s="328"/>
      <c r="J29" s="328"/>
      <c r="N29" s="25"/>
      <c r="O29" s="6"/>
    </row>
    <row r="30" spans="1:22" customFormat="1" ht="12.75" customHeight="1" x14ac:dyDescent="0.25">
      <c r="A30" s="345">
        <v>9</v>
      </c>
      <c r="B30" s="335" t="s">
        <v>756</v>
      </c>
      <c r="C30" s="336"/>
      <c r="D30" s="322"/>
      <c r="E30" s="322"/>
      <c r="F30" s="322"/>
      <c r="G30" s="323"/>
      <c r="H30" s="349">
        <f>SUM(H22:H28)</f>
        <v>203523</v>
      </c>
      <c r="I30" s="349">
        <f>SUM(I22:I28)</f>
        <v>-93087</v>
      </c>
      <c r="J30" s="350">
        <f>SUM(J22:J28)</f>
        <v>-93087</v>
      </c>
      <c r="K30" s="7">
        <f>H30-I30</f>
        <v>296610</v>
      </c>
      <c r="L30" s="7">
        <f>IF(AND(OR(H30=0,I30&lt;&gt;0),OR(I30=0,H30&lt;&gt;0)),IF((H30+I30+K30&lt;&gt;0),IF(AND(OR(H30&gt;0,I30&lt;0),OR(I30&gt;0,H30&lt;0)),ABS(K30/MIN(ABS(I30),ABS(H30))),10),"-"),10)</f>
        <v>10</v>
      </c>
      <c r="M30" s="7"/>
      <c r="N30" s="149"/>
      <c r="O30" s="149"/>
    </row>
    <row r="31" spans="1:22" customFormat="1" ht="12.75" customHeight="1" thickBot="1" x14ac:dyDescent="0.3">
      <c r="A31" s="345"/>
      <c r="B31" s="351"/>
      <c r="C31" s="352"/>
      <c r="D31" s="353"/>
      <c r="E31" s="353"/>
      <c r="F31" s="353"/>
      <c r="G31" s="354"/>
      <c r="H31" s="328"/>
      <c r="I31" s="328"/>
      <c r="J31" s="328"/>
      <c r="N31" s="6"/>
      <c r="O31" s="6"/>
    </row>
    <row r="32" spans="1:22" customFormat="1" ht="12.75" customHeight="1" thickBot="1" x14ac:dyDescent="0.3">
      <c r="A32" s="345">
        <v>10</v>
      </c>
      <c r="B32" s="348" t="s">
        <v>757</v>
      </c>
      <c r="C32" s="330"/>
      <c r="D32" s="330"/>
      <c r="E32" s="326"/>
      <c r="F32" s="326"/>
      <c r="G32" s="327"/>
      <c r="H32" s="320">
        <v>-368</v>
      </c>
      <c r="I32" s="320">
        <v>50</v>
      </c>
      <c r="J32" s="318">
        <v>50</v>
      </c>
      <c r="K32" s="163">
        <f>H32-I32</f>
        <v>-418</v>
      </c>
      <c r="L32" s="164">
        <f>IF(AND(OR(H32=0,I32&lt;&gt;0),OR(I32=0,H32&lt;&gt;0)),IF((H32+I32+K32&lt;&gt;0),IF(AND(OR(H32&gt;0,I32&lt;0),OR(I32&gt;0,H32&lt;0)),ABS(K32/MIN(ABS(I32),ABS(H32))),10),"-"),10)</f>
        <v>10</v>
      </c>
      <c r="M32" s="7"/>
      <c r="N32" s="146"/>
      <c r="O32" s="319"/>
      <c r="P32" s="5">
        <f>IF(AND(K32&gt;750,L32&gt;2),1,0)</f>
        <v>0</v>
      </c>
      <c r="Q32" s="5">
        <f>IF(AND(K32&lt;-750,L32&gt;2),1,0)</f>
        <v>0</v>
      </c>
      <c r="R32" s="5">
        <f>SUM(P32:Q32)</f>
        <v>0</v>
      </c>
      <c r="S32" s="156" t="str">
        <f>IF(R32&lt;&gt;0,A32&amp;" ("&amp;H32&amp;", "&amp;I32&amp;")"&amp;", ","")</f>
        <v/>
      </c>
      <c r="U32" s="156" t="str">
        <f>IF(I32&lt;&gt;J32,A32&amp;" ("&amp;I32&amp;", "&amp;J32&amp;")"&amp;", ","")</f>
        <v/>
      </c>
    </row>
    <row r="33" spans="1:21" customFormat="1" ht="12.75" customHeight="1" x14ac:dyDescent="0.25">
      <c r="A33" s="345"/>
      <c r="B33" s="348"/>
      <c r="C33" s="330"/>
      <c r="D33" s="330"/>
      <c r="E33" s="326"/>
      <c r="F33" s="326"/>
      <c r="G33" s="327"/>
      <c r="H33" s="355"/>
      <c r="I33" s="355"/>
      <c r="J33" s="355"/>
      <c r="K33" s="7"/>
      <c r="L33" s="7"/>
      <c r="M33" s="7"/>
      <c r="N33" s="148"/>
      <c r="O33" s="149"/>
    </row>
    <row r="34" spans="1:21" customFormat="1" ht="12.75" customHeight="1" x14ac:dyDescent="0.25">
      <c r="A34" s="345">
        <v>11</v>
      </c>
      <c r="B34" s="335" t="s">
        <v>758</v>
      </c>
      <c r="C34" s="336"/>
      <c r="D34" s="322"/>
      <c r="E34" s="322"/>
      <c r="F34" s="322"/>
      <c r="G34" s="323"/>
      <c r="H34" s="324">
        <f>H30+H32</f>
        <v>203155</v>
      </c>
      <c r="I34" s="324">
        <f>I30+I32</f>
        <v>-93037</v>
      </c>
      <c r="J34" s="324">
        <f>J30+J32</f>
        <v>-93037</v>
      </c>
      <c r="K34" s="7">
        <f>H34-I34</f>
        <v>296192</v>
      </c>
      <c r="L34" s="7">
        <f>IF(AND(OR(H34=0,I34&lt;&gt;0),OR(I34=0,H34&lt;&gt;0)),IF((H34+I34+K34&lt;&gt;0),IF(AND(OR(H34&gt;0,I34&lt;0),OR(I34&gt;0,H34&lt;0)),ABS(K34/MIN(ABS(I34),ABS(H34))),10),"-"),10)</f>
        <v>10</v>
      </c>
      <c r="M34" s="7"/>
      <c r="N34" s="149"/>
      <c r="O34" s="149"/>
    </row>
    <row r="35" spans="1:21" customFormat="1" ht="12.75" customHeight="1" thickBot="1" x14ac:dyDescent="0.3">
      <c r="A35" s="345"/>
      <c r="B35" s="348"/>
      <c r="C35" s="330"/>
      <c r="D35" s="326"/>
      <c r="E35" s="326"/>
      <c r="F35" s="326"/>
      <c r="G35" s="327"/>
      <c r="H35" s="328"/>
      <c r="I35" s="328"/>
      <c r="J35" s="328"/>
    </row>
    <row r="36" spans="1:21" customFormat="1" ht="12.75" customHeight="1" thickBot="1" x14ac:dyDescent="0.3">
      <c r="A36" s="345">
        <v>12</v>
      </c>
      <c r="B36" s="348" t="s">
        <v>759</v>
      </c>
      <c r="C36" s="330"/>
      <c r="D36" s="326"/>
      <c r="E36" s="326"/>
      <c r="F36" s="326"/>
      <c r="G36" s="327"/>
      <c r="H36" s="320">
        <v>-370</v>
      </c>
      <c r="I36" s="320">
        <v>805</v>
      </c>
      <c r="J36" s="320">
        <v>805</v>
      </c>
      <c r="K36" s="7">
        <f>H36-I36</f>
        <v>-1175</v>
      </c>
      <c r="L36" s="7">
        <f>IF(AND(OR(H36=0,I36&lt;&gt;0),OR(I36=0,H36&lt;&gt;0)),IF((H36+I36+K36&lt;&gt;0),IF(AND(OR(H36&gt;0,I36&lt;0),OR(I36&gt;0,H36&lt;0)),ABS(K36/MIN(ABS(I36),ABS(H36))),10),"-"),10)</f>
        <v>10</v>
      </c>
      <c r="M36" s="7"/>
      <c r="N36" s="149"/>
      <c r="O36" s="149"/>
      <c r="U36" s="156" t="str">
        <f>IF(I36&lt;&gt;J36,A36&amp;" ("&amp;I36&amp;", "&amp;J36&amp;")"&amp;", ","")</f>
        <v/>
      </c>
    </row>
    <row r="37" spans="1:21" customFormat="1" ht="12.75" customHeight="1" thickBot="1" x14ac:dyDescent="0.3">
      <c r="A37" s="345">
        <v>13</v>
      </c>
      <c r="B37" s="348" t="s">
        <v>760</v>
      </c>
      <c r="C37" s="330"/>
      <c r="D37" s="326"/>
      <c r="E37" s="326"/>
      <c r="F37" s="326"/>
      <c r="G37" s="327"/>
      <c r="H37" s="320">
        <v>-53076</v>
      </c>
      <c r="I37" s="320">
        <v>-69991</v>
      </c>
      <c r="J37" s="320">
        <v>-69991</v>
      </c>
      <c r="K37" s="7">
        <f>H37-I37</f>
        <v>16915</v>
      </c>
      <c r="L37" s="7">
        <f>IF(AND(OR(H37=0,I37&lt;&gt;0),OR(I37=0,H37&lt;&gt;0)),IF((H37+I37+K37&lt;&gt;0),IF(AND(OR(H37&gt;0,I37&lt;0),OR(I37&gt;0,H37&lt;0)),ABS(K37/MIN(ABS(I37),ABS(H37))),10),"-"),10)</f>
        <v>0.31869394830055015</v>
      </c>
      <c r="M37" s="7"/>
      <c r="N37" s="149"/>
      <c r="O37" s="149"/>
      <c r="U37" s="156" t="str">
        <f>IF(I37&lt;&gt;J37,A37&amp;" ("&amp;I37&amp;", "&amp;J37&amp;")"&amp;", ","")</f>
        <v/>
      </c>
    </row>
    <row r="38" spans="1:21" customFormat="1" ht="12.6" customHeight="1" thickBot="1" x14ac:dyDescent="0.3">
      <c r="A38" s="345">
        <v>14</v>
      </c>
      <c r="B38" s="348" t="s">
        <v>761</v>
      </c>
      <c r="C38" s="330"/>
      <c r="D38" s="326"/>
      <c r="E38" s="326"/>
      <c r="F38" s="326"/>
      <c r="G38" s="327"/>
      <c r="H38" s="320">
        <v>0</v>
      </c>
      <c r="I38" s="320">
        <v>0</v>
      </c>
      <c r="J38" s="320">
        <v>0</v>
      </c>
      <c r="K38" s="7">
        <f>H38-I38</f>
        <v>0</v>
      </c>
      <c r="L38" s="7" t="str">
        <f>IF(AND(OR(H38=0,I38&lt;&gt;0),OR(I38=0,H38&lt;&gt;0)),IF((H38+I38+K38&lt;&gt;0),IF(AND(OR(H38&gt;0,I38&lt;0),OR(I38&gt;0,H38&lt;0)),ABS(K38/MIN(ABS(I38),ABS(H38))),10),"-"),10)</f>
        <v>-</v>
      </c>
      <c r="M38" s="7"/>
      <c r="N38" s="150" t="s">
        <v>762</v>
      </c>
      <c r="O38" s="150"/>
      <c r="U38" s="156" t="str">
        <f>IF(I38&lt;&gt;J38,A38&amp;" ("&amp;I38&amp;", "&amp;J38&amp;")"&amp;", ","")</f>
        <v/>
      </c>
    </row>
    <row r="39" spans="1:21" customFormat="1" ht="12.75" customHeight="1" thickBot="1" x14ac:dyDescent="0.3">
      <c r="A39" s="345">
        <v>15</v>
      </c>
      <c r="B39" s="348" t="s">
        <v>763</v>
      </c>
      <c r="C39" s="330"/>
      <c r="D39" s="326"/>
      <c r="E39" s="326"/>
      <c r="F39" s="326"/>
      <c r="G39" s="327"/>
      <c r="H39" s="320">
        <v>0</v>
      </c>
      <c r="I39" s="320">
        <v>0</v>
      </c>
      <c r="J39" s="320">
        <v>0</v>
      </c>
      <c r="K39" s="7">
        <f>H39-I39</f>
        <v>0</v>
      </c>
      <c r="L39" s="7" t="str">
        <f>IF(AND(OR(H39=0,I39&lt;&gt;0),OR(I39=0,H39&lt;&gt;0)),IF((H39+I39+K39&lt;&gt;0),IF(AND(OR(H39&gt;0,I39&lt;0),OR(I39&gt;0,H39&lt;0)),ABS(K39/MIN(ABS(I39),ABS(H39))),10),"-"),10)</f>
        <v>-</v>
      </c>
      <c r="M39" s="7"/>
      <c r="N39" s="146"/>
      <c r="O39" s="319"/>
      <c r="U39" s="156" t="str">
        <f>IF(I39&lt;&gt;J39,A39&amp;" ("&amp;I39&amp;", "&amp;J39&amp;")"&amp;", ","")</f>
        <v/>
      </c>
    </row>
    <row r="40" spans="1:21" customFormat="1" ht="12.75" customHeight="1" x14ac:dyDescent="0.25">
      <c r="A40" s="345"/>
      <c r="B40" s="348"/>
      <c r="C40" s="330"/>
      <c r="D40" s="326"/>
      <c r="E40" s="326"/>
      <c r="F40" s="326"/>
      <c r="G40" s="327"/>
      <c r="H40" s="356"/>
      <c r="I40" s="356"/>
      <c r="J40" s="328"/>
    </row>
    <row r="41" spans="1:21" customFormat="1" ht="12.75" customHeight="1" x14ac:dyDescent="0.25">
      <c r="A41" s="345">
        <v>16</v>
      </c>
      <c r="B41" s="335" t="s">
        <v>764</v>
      </c>
      <c r="C41" s="336"/>
      <c r="D41" s="322"/>
      <c r="E41" s="322"/>
      <c r="F41" s="322"/>
      <c r="G41" s="323"/>
      <c r="H41" s="324">
        <f>H34+H36+H37+H38+H39</f>
        <v>149709</v>
      </c>
      <c r="I41" s="324">
        <f>I34+I36+I37+I38+I39</f>
        <v>-162223</v>
      </c>
      <c r="J41" s="324">
        <f>J34+J36+J37+J38</f>
        <v>-162223</v>
      </c>
      <c r="K41" s="7">
        <f>H41-I41</f>
        <v>311932</v>
      </c>
      <c r="L41" s="7">
        <f>IF(AND(OR(H41=0,I41&lt;&gt;0),OR(I41=0,H41&lt;&gt;0)),IF((H41+I41+K41&lt;&gt;0),IF(AND(OR(H41&gt;0,I41&lt;0),OR(I41&gt;0,H41&lt;0)),ABS(K41/MIN(ABS(I41),ABS(H41))),10),"-"),10)</f>
        <v>10</v>
      </c>
      <c r="M41" s="7"/>
      <c r="N41" s="149"/>
      <c r="O41" s="149"/>
    </row>
    <row r="42" spans="1:21" customFormat="1" ht="12.75" customHeight="1" x14ac:dyDescent="0.25">
      <c r="A42" s="345"/>
      <c r="B42" s="348"/>
      <c r="C42" s="330"/>
      <c r="D42" s="326"/>
      <c r="E42" s="326"/>
      <c r="F42" s="326"/>
      <c r="G42" s="327"/>
      <c r="H42" s="328"/>
      <c r="I42" s="328"/>
      <c r="J42" s="328"/>
    </row>
    <row r="43" spans="1:21" customFormat="1" ht="12.75" customHeight="1" thickBot="1" x14ac:dyDescent="0.3">
      <c r="A43" s="345">
        <v>17</v>
      </c>
      <c r="B43" s="357" t="s">
        <v>765</v>
      </c>
      <c r="C43" s="358"/>
      <c r="D43" s="358"/>
      <c r="E43" s="358"/>
      <c r="F43" s="358"/>
      <c r="G43" s="359"/>
      <c r="H43" s="329"/>
      <c r="I43" s="329"/>
      <c r="J43" s="329"/>
      <c r="K43" s="22" t="s">
        <v>342</v>
      </c>
    </row>
    <row r="44" spans="1:21" customFormat="1" ht="12.75" customHeight="1" thickBot="1" x14ac:dyDescent="0.3">
      <c r="A44" s="345" t="s">
        <v>766</v>
      </c>
      <c r="B44" s="348"/>
      <c r="C44" s="330" t="s">
        <v>767</v>
      </c>
      <c r="D44" s="326"/>
      <c r="E44" s="326"/>
      <c r="F44" s="326"/>
      <c r="G44" s="327"/>
      <c r="H44" s="320">
        <v>27912</v>
      </c>
      <c r="I44" s="320">
        <v>35764</v>
      </c>
      <c r="J44" s="320">
        <v>35764</v>
      </c>
      <c r="K44" s="7">
        <f t="shared" ref="K44:K50" si="4">H44-I44</f>
        <v>-7852</v>
      </c>
      <c r="L44" s="7">
        <f t="shared" ref="L44:L50" si="5">IF(AND(OR(H44=0,I44&lt;&gt;0),OR(I44=0,H44&lt;&gt;0)),IF((H44+I44+K44&lt;&gt;0),IF(AND(OR(H44&gt;0,I44&lt;0),OR(I44&gt;0,H44&lt;0)),ABS(K44/MIN(ABS(I44),ABS(H44))),10),"-"),10)</f>
        <v>0.28131269704786471</v>
      </c>
      <c r="M44" s="7"/>
      <c r="N44" s="149"/>
      <c r="O44" s="149"/>
      <c r="U44" s="156" t="str">
        <f>IF(I44&lt;&gt;J44,A44&amp;" ("&amp;I44&amp;", "&amp;J44&amp;")"&amp;", ","")</f>
        <v/>
      </c>
    </row>
    <row r="45" spans="1:21" customFormat="1" ht="12.75" customHeight="1" thickBot="1" x14ac:dyDescent="0.3">
      <c r="A45" s="345" t="s">
        <v>768</v>
      </c>
      <c r="B45" s="348"/>
      <c r="C45" s="330" t="s">
        <v>769</v>
      </c>
      <c r="D45" s="326"/>
      <c r="E45" s="326"/>
      <c r="F45" s="326"/>
      <c r="G45" s="327"/>
      <c r="H45" s="320">
        <v>9385</v>
      </c>
      <c r="I45" s="320">
        <v>-11334</v>
      </c>
      <c r="J45" s="320">
        <v>-11334</v>
      </c>
      <c r="K45" s="7">
        <f t="shared" si="4"/>
        <v>20719</v>
      </c>
      <c r="L45" s="7">
        <f t="shared" si="5"/>
        <v>10</v>
      </c>
      <c r="M45" s="7"/>
      <c r="N45" s="149"/>
      <c r="O45" s="149"/>
      <c r="U45" s="156" t="str">
        <f>IF(I45&lt;&gt;J45,A45&amp;" ("&amp;I45&amp;", "&amp;J45&amp;")"&amp;", ","")</f>
        <v/>
      </c>
    </row>
    <row r="46" spans="1:21" customFormat="1" ht="12.75" customHeight="1" thickBot="1" x14ac:dyDescent="0.3">
      <c r="A46" s="345" t="s">
        <v>770</v>
      </c>
      <c r="B46" s="348"/>
      <c r="C46" s="330" t="s">
        <v>771</v>
      </c>
      <c r="D46" s="326"/>
      <c r="E46" s="326"/>
      <c r="F46" s="326"/>
      <c r="G46" s="327"/>
      <c r="H46" s="320">
        <v>112782</v>
      </c>
      <c r="I46" s="320">
        <v>-187458</v>
      </c>
      <c r="J46" s="320">
        <v>-187458</v>
      </c>
      <c r="K46" s="7">
        <f t="shared" si="4"/>
        <v>300240</v>
      </c>
      <c r="L46" s="7">
        <f t="shared" si="5"/>
        <v>10</v>
      </c>
      <c r="M46" s="7"/>
      <c r="N46" s="149"/>
      <c r="O46" s="149"/>
      <c r="U46" s="156" t="str">
        <f>IF(I46&lt;&gt;J46,A46&amp;" ("&amp;I46&amp;", "&amp;J46&amp;")"&amp;", ","")</f>
        <v/>
      </c>
    </row>
    <row r="47" spans="1:21" customFormat="1" ht="12.75" customHeight="1" thickBot="1" x14ac:dyDescent="0.3">
      <c r="A47" s="345" t="s">
        <v>772</v>
      </c>
      <c r="B47" s="348"/>
      <c r="C47" s="330" t="s">
        <v>773</v>
      </c>
      <c r="D47" s="330"/>
      <c r="E47" s="326"/>
      <c r="F47" s="326"/>
      <c r="G47" s="327"/>
      <c r="H47" s="320">
        <v>-370</v>
      </c>
      <c r="I47" s="320">
        <v>805</v>
      </c>
      <c r="J47" s="320">
        <v>805</v>
      </c>
      <c r="K47" s="7">
        <f t="shared" si="4"/>
        <v>-1175</v>
      </c>
      <c r="L47" s="7">
        <f t="shared" si="5"/>
        <v>10</v>
      </c>
      <c r="M47" s="7"/>
      <c r="N47" s="149"/>
      <c r="O47" s="149"/>
      <c r="U47" s="156" t="str">
        <f>IF(I47&lt;&gt;J47,A47&amp;" ("&amp;I47&amp;", "&amp;J47&amp;")"&amp;", ","")</f>
        <v/>
      </c>
    </row>
    <row r="48" spans="1:21" customFormat="1" ht="12.75" customHeight="1" thickBot="1" x14ac:dyDescent="0.3">
      <c r="A48" s="345" t="s">
        <v>774</v>
      </c>
      <c r="B48" s="360" t="s">
        <v>775</v>
      </c>
      <c r="C48" s="360"/>
      <c r="D48" s="360"/>
      <c r="E48" s="361"/>
      <c r="F48" s="361"/>
      <c r="G48" s="362"/>
      <c r="H48" s="349">
        <f>SUM(H44:H47)</f>
        <v>149709</v>
      </c>
      <c r="I48" s="349">
        <f>SUM(I44:I47)</f>
        <v>-162223</v>
      </c>
      <c r="J48" s="349">
        <f>SUM(J44:J47)</f>
        <v>-162223</v>
      </c>
      <c r="K48" s="7">
        <f t="shared" si="4"/>
        <v>311932</v>
      </c>
      <c r="L48" s="7">
        <f t="shared" si="5"/>
        <v>10</v>
      </c>
      <c r="M48" s="7"/>
      <c r="N48" s="149"/>
      <c r="O48" s="149"/>
    </row>
    <row r="49" spans="1:22" customFormat="1" ht="12.6" customHeight="1" thickBot="1" x14ac:dyDescent="0.3">
      <c r="A49" s="345" t="s">
        <v>776</v>
      </c>
      <c r="B49" s="330" t="s">
        <v>777</v>
      </c>
      <c r="C49" s="330"/>
      <c r="D49" s="326"/>
      <c r="E49" s="326"/>
      <c r="F49" s="326"/>
      <c r="G49" s="327"/>
      <c r="H49" s="320">
        <v>0</v>
      </c>
      <c r="I49" s="320">
        <v>0</v>
      </c>
      <c r="J49" s="320">
        <v>0</v>
      </c>
      <c r="K49" s="7">
        <f t="shared" si="4"/>
        <v>0</v>
      </c>
      <c r="L49" s="7" t="str">
        <f t="shared" si="5"/>
        <v>-</v>
      </c>
      <c r="M49" s="7"/>
      <c r="N49" s="149"/>
      <c r="O49" s="149"/>
      <c r="U49" s="156" t="str">
        <f>IF(I49&lt;&gt;J49,A49&amp;" ("&amp;I49&amp;", "&amp;J49&amp;")"&amp;", ","")</f>
        <v/>
      </c>
    </row>
    <row r="50" spans="1:22" x14ac:dyDescent="0.2">
      <c r="A50" s="345" t="s">
        <v>778</v>
      </c>
      <c r="B50" s="336" t="s">
        <v>779</v>
      </c>
      <c r="C50" s="336"/>
      <c r="D50" s="322"/>
      <c r="E50" s="322"/>
      <c r="F50" s="322"/>
      <c r="G50" s="322"/>
      <c r="H50" s="349">
        <f>H48+H49</f>
        <v>149709</v>
      </c>
      <c r="I50" s="349">
        <f>I48+I49</f>
        <v>-162223</v>
      </c>
      <c r="J50" s="363">
        <f>J48+J49</f>
        <v>-162223</v>
      </c>
      <c r="K50" s="7">
        <f t="shared" si="4"/>
        <v>311932</v>
      </c>
      <c r="L50" s="7">
        <f t="shared" si="5"/>
        <v>10</v>
      </c>
      <c r="M50" s="7"/>
      <c r="N50" s="149"/>
      <c r="O50" s="149"/>
    </row>
    <row r="51" spans="1:22" x14ac:dyDescent="0.2">
      <c r="A51" s="345"/>
      <c r="B51" s="348"/>
      <c r="C51" s="4"/>
      <c r="D51" s="326"/>
      <c r="E51" s="326"/>
      <c r="F51" s="326"/>
      <c r="G51" s="327"/>
      <c r="H51" s="356"/>
      <c r="I51" s="328"/>
      <c r="J51" s="328"/>
      <c r="K51" s="22" t="s">
        <v>342</v>
      </c>
    </row>
    <row r="52" spans="1:22" customFormat="1" ht="12.6" customHeight="1" thickBot="1" x14ac:dyDescent="0.3">
      <c r="A52" s="345">
        <v>18</v>
      </c>
      <c r="B52" s="357" t="s">
        <v>780</v>
      </c>
      <c r="C52" s="358"/>
      <c r="D52" s="309"/>
      <c r="E52" s="309"/>
      <c r="F52" s="309"/>
      <c r="G52" s="310"/>
      <c r="H52" s="329"/>
      <c r="I52" s="329"/>
      <c r="J52" s="329"/>
      <c r="K52" s="22" t="s">
        <v>342</v>
      </c>
    </row>
    <row r="53" spans="1:22" customFormat="1" ht="12.6" customHeight="1" thickBot="1" x14ac:dyDescent="0.3">
      <c r="A53" s="345" t="s">
        <v>781</v>
      </c>
      <c r="B53" s="348"/>
      <c r="C53" s="330" t="s">
        <v>782</v>
      </c>
      <c r="D53" s="326"/>
      <c r="E53" s="326"/>
      <c r="F53" s="326"/>
      <c r="G53" s="327"/>
      <c r="H53" s="320">
        <v>0</v>
      </c>
      <c r="I53" s="320">
        <v>0</v>
      </c>
      <c r="J53" s="320">
        <v>0</v>
      </c>
      <c r="K53" s="7">
        <f>H53-I53</f>
        <v>0</v>
      </c>
      <c r="L53" s="7" t="str">
        <f>IF(AND(OR(H53=0,I53&lt;&gt;0),OR(I53=0,H53&lt;&gt;0)),IF((H53+I53+K53&lt;&gt;0),IF(AND(OR(H53&gt;0,I53&lt;0),OR(I53&gt;0,H53&lt;0)),ABS(K53/MIN(ABS(I53),ABS(H53))),10),"-"),10)</f>
        <v>-</v>
      </c>
      <c r="M53" s="7"/>
      <c r="N53" s="149"/>
      <c r="O53" s="149"/>
      <c r="U53" s="156" t="str">
        <f>IF(I53&lt;&gt;J53,A53&amp;" ("&amp;I53&amp;", "&amp;J53&amp;")"&amp;", ","")</f>
        <v/>
      </c>
    </row>
    <row r="54" spans="1:22" x14ac:dyDescent="0.2">
      <c r="A54" s="345" t="s">
        <v>783</v>
      </c>
      <c r="B54" s="364"/>
      <c r="C54" s="360" t="s">
        <v>784</v>
      </c>
      <c r="D54" s="361"/>
      <c r="E54" s="361"/>
      <c r="F54" s="361"/>
      <c r="G54" s="362"/>
      <c r="H54" s="349">
        <f>H34-H53</f>
        <v>203155</v>
      </c>
      <c r="I54" s="349">
        <f>I34-I53</f>
        <v>-93037</v>
      </c>
      <c r="J54" s="349">
        <f>J34-J53</f>
        <v>-93037</v>
      </c>
      <c r="K54" s="32">
        <f>H54-I54</f>
        <v>296192</v>
      </c>
      <c r="L54" s="7">
        <f>IF(AND(OR(H54=0,I54&lt;&gt;0),OR(I54=0,H54&lt;&gt;0)),IF((H54+I54+K54&lt;&gt;0),IF(AND(OR(H54&gt;0,I54&lt;0),OR(I54&gt;0,H54&lt;0)),ABS(K54/MIN(ABS(I54),ABS(H54))),10),"-"),10)</f>
        <v>10</v>
      </c>
      <c r="M54" s="7"/>
      <c r="N54" s="149"/>
      <c r="O54" s="149"/>
    </row>
    <row r="55" spans="1:22" x14ac:dyDescent="0.2">
      <c r="A55" s="10"/>
      <c r="B55" s="220"/>
      <c r="C55" s="220"/>
      <c r="D55" s="365"/>
      <c r="E55" s="365"/>
      <c r="F55" s="365"/>
      <c r="G55" s="365"/>
      <c r="H55" s="365"/>
      <c r="I55" s="365"/>
      <c r="N55" s="150" t="s">
        <v>785</v>
      </c>
      <c r="O55" s="151"/>
    </row>
    <row r="56" spans="1:22" customFormat="1" ht="37.5" customHeight="1" x14ac:dyDescent="0.25">
      <c r="A56" s="345">
        <v>19</v>
      </c>
      <c r="B56" s="699" t="s">
        <v>786</v>
      </c>
      <c r="C56" s="700"/>
      <c r="D56" s="326"/>
      <c r="E56" s="326"/>
      <c r="F56" s="326"/>
      <c r="G56" s="327"/>
      <c r="H56" s="366" t="s">
        <v>4</v>
      </c>
      <c r="I56" s="366" t="s">
        <v>4</v>
      </c>
      <c r="J56" s="366"/>
      <c r="N56" s="146"/>
      <c r="O56" s="319"/>
      <c r="V56" s="4"/>
    </row>
    <row r="58" spans="1:22" x14ac:dyDescent="0.2">
      <c r="B58" s="5" t="s">
        <v>787</v>
      </c>
    </row>
  </sheetData>
  <sheetProtection algorithmName="SHA-512" hashValue="sGQ/yB9wKySilDnvWZWvsg66USJeLz0eZV1s8Zvg6pxDGxm1kDH3eBtV2vntj+ow3xlfOYduFCLcZhbj6JJpZQ==" saltValue="ANdIVM2WzaMzg3V6Tt2NeQ==" spinCount="100000" sheet="1" objects="1"/>
  <mergeCells count="1">
    <mergeCell ref="B56:C56"/>
  </mergeCells>
  <conditionalFormatting sqref="N7:O7 N9:O11 N16:O16 N18:O19 N24:O24 N26:O28 N32:O32">
    <cfRule type="expression" dxfId="8" priority="1">
      <formula>AND(OR((L7)&gt;2,(L7)&lt;-2),(L7)&lt;&gt;"-",OR((K7)&gt;750,(K7)&lt;-750))</formula>
    </cfRule>
  </conditionalFormatting>
  <conditionalFormatting sqref="I6:I11 I15:I19 I24 I26:I28 I32 I36:I39 I44:I47 I49 I53">
    <cfRule type="expression" dxfId="7" priority="2">
      <formula>I6&lt;&gt;J6</formula>
    </cfRule>
  </conditionalFormatting>
  <dataValidations count="5">
    <dataValidation type="whole" operator="greaterThan" allowBlank="1" showInputMessage="1" showErrorMessage="1" errorTitle="Whole numbers only allowed" error="All monies should be independently rounded to the nearest £1,000." sqref="I6:J11 H9 I15:J19 H18 H24:J28 H32:J32 H36:J38 J39 H44:J50 H53:J54">
      <formula1>-99999999</formula1>
    </dataValidation>
    <dataValidation type="textLength" allowBlank="1" showInputMessage="1" showErrorMessage="1" errorTitle="Maximum 255 text characters" error="Only text up to 255 characters is allowed here." promptTitle="Maximum 255 text characters" prompt=" " sqref="N39:O39 N56:O56">
      <formula1>0</formula1>
      <formula2>255</formula2>
    </dataValidation>
    <dataValidation type="whole" operator="greaterThan" allowBlank="1" showInputMessage="1" showErrorMessage="1" errorTitle="Whole numbers only allowed" error="All monies should be independently rounded to the nearest £1,000." promptTitle="If a value is entered here..." prompt="Please complete the text box to the right (M41)" sqref="H39">
      <formula1>-99999999</formula1>
    </dataValidation>
    <dataValidation type="whole" operator="greaterThan" allowBlank="1" showInputMessage="1" showErrorMessage="1" errorTitle="Whole numbers only allowed" error="All monies should be independently rounded to the nearest £1,000." sqref="I39">
      <formula1>-9999999</formula1>
    </dataValidation>
    <dataValidation type="whole" operator="greaterThan" allowBlank="1" showInputMessage="1" showErrorMessage="1" errorTitle="Whole numbers only allowed" error="All monies should be independently rounded to the nearest £1,000." sqref="H6:H8 H10:H11 H15:H17 H19">
      <formula1>-999999999</formula1>
    </dataValidation>
  </dataValidations>
  <printOptions headings="1" gridLines="1"/>
  <pageMargins left="0.11811023622047245" right="0.11811023622047245" top="0.35433070866141736" bottom="0.35433070866141736" header="0.11811023622047245" footer="0.11811023622047245"/>
  <pageSetup paperSize="8" scale="75"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'Hide_me(drop_downs)'!$A$6:$A$10</xm:f>
          </x14:formula1>
          <xm:sqref>N9:O11 N26:O28 N18:O19 N7:O7 N16:O16 N24:O24 N32:O32</xm:sqref>
        </x14:dataValidation>
        <x14:dataValidation type="list" allowBlank="1" showInputMessage="1" showErrorMessage="1">
          <x14:formula1>
            <xm:f>'Hide_me(drop_downs)'!$E$2:$E$4</xm:f>
          </x14:formula1>
          <xm:sqref>H56:I56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W74"/>
  <sheetViews>
    <sheetView workbookViewId="0">
      <pane ySplit="4" topLeftCell="A5" activePane="bottomLeft" state="frozenSplit"/>
      <selection activeCell="N46" sqref="N46"/>
      <selection pane="bottomLeft" activeCell="Y2" sqref="Y2"/>
    </sheetView>
  </sheetViews>
  <sheetFormatPr defaultColWidth="9.140625" defaultRowHeight="12.75" x14ac:dyDescent="0.2"/>
  <cols>
    <col min="1" max="1" width="10" style="9" bestFit="1" customWidth="1"/>
    <col min="2" max="2" width="2.140625" style="5" customWidth="1"/>
    <col min="3" max="3" width="61.28515625" style="5" customWidth="1"/>
    <col min="4" max="4" width="51.42578125" style="5" hidden="1" customWidth="1"/>
    <col min="5" max="6" width="1.42578125" style="5" hidden="1" customWidth="1"/>
    <col min="7" max="7" width="0.42578125" style="5" hidden="1" customWidth="1"/>
    <col min="8" max="8" width="15.140625" style="5" customWidth="1"/>
    <col min="9" max="9" width="15.42578125" style="5" customWidth="1"/>
    <col min="10" max="10" width="17.28515625" style="5" hidden="1" customWidth="1"/>
    <col min="11" max="12" width="16.140625" style="5" hidden="1" customWidth="1"/>
    <col min="13" max="13" width="6.28515625" style="5" hidden="1" customWidth="1"/>
    <col min="14" max="14" width="79.28515625" style="5" customWidth="1"/>
    <col min="15" max="15" width="7" style="5" hidden="1" customWidth="1"/>
    <col min="16" max="18" width="8.5703125" style="5" hidden="1" customWidth="1"/>
    <col min="19" max="19" width="13.28515625" style="5" hidden="1" customWidth="1"/>
    <col min="20" max="20" width="8.5703125" style="5" hidden="1" customWidth="1"/>
    <col min="21" max="21" width="16.140625" style="5" hidden="1" customWidth="1"/>
    <col min="22" max="22" width="30.140625" style="4" hidden="1" customWidth="1"/>
    <col min="23" max="23" width="9.140625" style="5" customWidth="1"/>
    <col min="24" max="16384" width="9.140625" style="5"/>
  </cols>
  <sheetData>
    <row r="1" spans="1:23" customFormat="1" ht="56.25" customHeight="1" thickBot="1" x14ac:dyDescent="0.3">
      <c r="A1" s="367" t="s">
        <v>788</v>
      </c>
      <c r="B1" s="368" t="s">
        <v>789</v>
      </c>
      <c r="C1" s="368"/>
      <c r="D1" s="89"/>
      <c r="E1" s="369"/>
      <c r="F1" s="369"/>
      <c r="G1" s="369"/>
      <c r="H1" s="370"/>
      <c r="I1" s="291" t="s">
        <v>709</v>
      </c>
      <c r="J1" s="292" t="s">
        <v>709</v>
      </c>
      <c r="L1" s="18"/>
      <c r="M1" s="18"/>
      <c r="S1" s="293" t="str">
        <f>Title_Page!H58</f>
        <v>FAIL</v>
      </c>
      <c r="U1" s="293" t="str">
        <f>Title_Page!H59</f>
        <v>FAIL</v>
      </c>
    </row>
    <row r="2" spans="1:23" customFormat="1" ht="46.7" customHeight="1" x14ac:dyDescent="0.25">
      <c r="A2" s="294"/>
      <c r="B2" s="295" t="str">
        <f>'Hide_me(drop_downs)'!I3</f>
        <v>as at 31 July 2020</v>
      </c>
      <c r="C2" s="295"/>
      <c r="D2" s="371"/>
      <c r="E2" s="372"/>
      <c r="F2" s="372"/>
      <c r="G2" s="372"/>
      <c r="H2" s="373"/>
      <c r="I2" s="297" t="s">
        <v>710</v>
      </c>
      <c r="J2" s="297" t="s">
        <v>711</v>
      </c>
      <c r="L2" s="20"/>
      <c r="M2" s="20"/>
      <c r="N2" s="27" t="str">
        <f>'Hide_me(drop_downs)'!I5</f>
        <v>Variance (2019/20 v. 2018/19 restated)</v>
      </c>
      <c r="O2" s="27"/>
      <c r="P2" s="130" t="s">
        <v>712</v>
      </c>
      <c r="Q2" s="70"/>
      <c r="R2" s="70"/>
      <c r="S2" s="132"/>
      <c r="U2" s="5" t="s">
        <v>713</v>
      </c>
      <c r="W2" s="22" t="s">
        <v>342</v>
      </c>
    </row>
    <row r="3" spans="1:23" customFormat="1" ht="37.5" customHeight="1" x14ac:dyDescent="0.25">
      <c r="A3" s="374"/>
      <c r="B3" s="375"/>
      <c r="C3" s="375"/>
      <c r="D3" s="375"/>
      <c r="E3" s="375"/>
      <c r="F3" s="375"/>
      <c r="G3" s="376"/>
      <c r="H3" s="300" t="str">
        <f>'Hide_me(drop_downs)'!I1</f>
        <v>Year ended 31 July 2020</v>
      </c>
      <c r="I3" s="301" t="str">
        <f>'Hide_me(drop_downs)'!J1</f>
        <v>Year ended 31 July 2019</v>
      </c>
      <c r="J3" s="301" t="str">
        <f>'Hide_me(drop_downs)'!J1</f>
        <v>Year ended 31 July 2019</v>
      </c>
      <c r="K3" s="20"/>
      <c r="L3" s="20"/>
      <c r="M3" s="20"/>
      <c r="N3" s="28" t="s">
        <v>714</v>
      </c>
      <c r="O3" s="28"/>
      <c r="P3" s="131"/>
      <c r="S3" s="132"/>
      <c r="U3" s="5" t="s">
        <v>715</v>
      </c>
      <c r="V3" s="377" t="s">
        <v>790</v>
      </c>
      <c r="W3" s="22" t="s">
        <v>342</v>
      </c>
    </row>
    <row r="4" spans="1:23" customFormat="1" ht="15.4" customHeight="1" thickBot="1" x14ac:dyDescent="0.3">
      <c r="A4" s="378"/>
      <c r="B4" s="379"/>
      <c r="C4" s="379"/>
      <c r="D4" s="379"/>
      <c r="E4" s="379"/>
      <c r="F4" s="379"/>
      <c r="G4" s="380"/>
      <c r="H4" s="301" t="s">
        <v>717</v>
      </c>
      <c r="I4" s="301" t="s">
        <v>717</v>
      </c>
      <c r="J4" s="381" t="s">
        <v>717</v>
      </c>
      <c r="K4" s="18" t="s">
        <v>717</v>
      </c>
      <c r="L4" s="18" t="s">
        <v>718</v>
      </c>
      <c r="M4" s="18"/>
      <c r="N4" s="29" t="s">
        <v>719</v>
      </c>
      <c r="O4" s="29"/>
      <c r="P4" s="133" t="s">
        <v>720</v>
      </c>
      <c r="S4" s="132"/>
      <c r="U4" s="133" t="s">
        <v>358</v>
      </c>
    </row>
    <row r="5" spans="1:23" customFormat="1" ht="15.75" customHeight="1" thickBot="1" x14ac:dyDescent="0.3">
      <c r="A5" s="307">
        <v>1</v>
      </c>
      <c r="B5" s="308" t="s">
        <v>791</v>
      </c>
      <c r="C5" s="309"/>
      <c r="D5" s="309"/>
      <c r="E5" s="309"/>
      <c r="F5" s="309"/>
      <c r="G5" s="310"/>
      <c r="H5" s="311"/>
      <c r="I5" s="311"/>
      <c r="J5" s="311"/>
      <c r="K5" s="30" t="s">
        <v>358</v>
      </c>
      <c r="L5" s="30" t="s">
        <v>358</v>
      </c>
      <c r="M5" s="30"/>
      <c r="N5" s="18" t="s">
        <v>722</v>
      </c>
      <c r="O5" s="18"/>
      <c r="P5" s="18"/>
      <c r="Q5" s="18"/>
      <c r="R5" s="18"/>
      <c r="S5" s="382" t="str">
        <f>IF(S1="FAIL","Head","")</f>
        <v>Head</v>
      </c>
      <c r="T5" s="18"/>
      <c r="U5" s="293" t="str">
        <f>IF(U1="FAIL","Head","")</f>
        <v>Head</v>
      </c>
    </row>
    <row r="6" spans="1:23" customFormat="1" ht="12.75" customHeight="1" thickBot="1" x14ac:dyDescent="0.3">
      <c r="A6" s="307" t="s">
        <v>723</v>
      </c>
      <c r="B6" s="383"/>
      <c r="C6" s="384" t="s">
        <v>792</v>
      </c>
      <c r="D6" s="384"/>
      <c r="E6" s="385"/>
      <c r="F6" s="385"/>
      <c r="G6" s="386"/>
      <c r="H6" s="320">
        <v>9332</v>
      </c>
      <c r="I6" s="320">
        <v>254</v>
      </c>
      <c r="J6" s="387">
        <v>0</v>
      </c>
      <c r="K6" s="163">
        <f t="shared" ref="K6:K16" si="0">H6-I6</f>
        <v>9078</v>
      </c>
      <c r="L6" s="164">
        <f t="shared" ref="L6:L16" si="1">IF(AND(OR(H6=0,I6&lt;&gt;0),OR(I6=0,H6&lt;&gt;0)),IF((H6+I6+K6&lt;&gt;0),IF(AND(OR(H6&gt;0,I6&lt;0),OR(I6&gt;0,H6&lt;0)),ABS(K6/MIN(ABS(I6),ABS(H6))),10),"-"),10)</f>
        <v>35.740157480314963</v>
      </c>
      <c r="M6" s="7"/>
      <c r="N6" s="61" t="s">
        <v>9</v>
      </c>
      <c r="O6" s="388"/>
      <c r="P6" s="5">
        <f>IF(AND(K6&gt;750,L6&gt;2),1,0)</f>
        <v>1</v>
      </c>
      <c r="Q6" s="5">
        <f>IF(AND(K6&lt;-750,L6&gt;2),1,0)</f>
        <v>0</v>
      </c>
      <c r="R6" s="5">
        <f>SUM(P6:Q6)</f>
        <v>1</v>
      </c>
      <c r="S6" s="156" t="str">
        <f>IF(R6&lt;&gt;0,A6&amp;" ("&amp;H6&amp;", "&amp;I6&amp;")"&amp;", ","")</f>
        <v xml:space="preserve">1a (9332, 254), </v>
      </c>
      <c r="U6" s="156" t="str">
        <f>IF(I6&lt;&gt;J6,A6&amp;" ("&amp;I6&amp;", "&amp;J6&amp;")"&amp;", ","")</f>
        <v xml:space="preserve">1a (254, 0), </v>
      </c>
    </row>
    <row r="7" spans="1:23" customFormat="1" ht="12.75" customHeight="1" thickBot="1" x14ac:dyDescent="0.3">
      <c r="A7" s="307" t="s">
        <v>725</v>
      </c>
      <c r="B7" s="383"/>
      <c r="C7" s="384" t="s">
        <v>793</v>
      </c>
      <c r="D7" s="384"/>
      <c r="E7" s="385"/>
      <c r="F7" s="385"/>
      <c r="G7" s="386"/>
      <c r="H7" s="320">
        <v>0</v>
      </c>
      <c r="I7" s="320">
        <v>0</v>
      </c>
      <c r="J7" s="387">
        <v>0</v>
      </c>
      <c r="K7" s="163">
        <f t="shared" si="0"/>
        <v>0</v>
      </c>
      <c r="L7" s="164" t="str">
        <f t="shared" si="1"/>
        <v>-</v>
      </c>
      <c r="M7" s="7"/>
      <c r="N7" s="61"/>
      <c r="O7" s="388"/>
      <c r="P7" s="5">
        <f>IF(AND(K7&gt;750,L7&gt;2),1,0)</f>
        <v>0</v>
      </c>
      <c r="Q7" s="5">
        <f>IF(AND(K7&lt;-750,L7&gt;2),1,0)</f>
        <v>0</v>
      </c>
      <c r="R7" s="5">
        <f>SUM(P7:Q7)</f>
        <v>0</v>
      </c>
      <c r="S7" s="156" t="str">
        <f>IF(R7&lt;&gt;0,A7&amp;" ("&amp;H7&amp;", "&amp;I7&amp;")"&amp;", ","")</f>
        <v/>
      </c>
      <c r="U7" s="156" t="str">
        <f>IF(I7&lt;&gt;J7,A7&amp;" ("&amp;I7&amp;", "&amp;J7&amp;")"&amp;", ","")</f>
        <v/>
      </c>
    </row>
    <row r="8" spans="1:23" customFormat="1" ht="12.75" customHeight="1" thickBot="1" x14ac:dyDescent="0.3">
      <c r="A8" s="307" t="s">
        <v>727</v>
      </c>
      <c r="B8" s="383"/>
      <c r="C8" s="384" t="s">
        <v>794</v>
      </c>
      <c r="D8" s="384"/>
      <c r="E8" s="385"/>
      <c r="F8" s="385"/>
      <c r="G8" s="386"/>
      <c r="H8" s="320">
        <v>0</v>
      </c>
      <c r="I8" s="320">
        <v>0</v>
      </c>
      <c r="J8" s="387">
        <v>0</v>
      </c>
      <c r="K8" s="163">
        <f t="shared" si="0"/>
        <v>0</v>
      </c>
      <c r="L8" s="164" t="str">
        <f t="shared" si="1"/>
        <v>-</v>
      </c>
      <c r="M8" s="7"/>
      <c r="N8" s="61"/>
      <c r="O8" s="388"/>
      <c r="P8" s="5">
        <f>IF(AND(K8&gt;750,L8&gt;2),1,0)</f>
        <v>0</v>
      </c>
      <c r="Q8" s="5">
        <f>IF(AND(K8&lt;-750,L8&gt;2),1,0)</f>
        <v>0</v>
      </c>
      <c r="R8" s="5">
        <f>SUM(P8:Q8)</f>
        <v>0</v>
      </c>
      <c r="S8" s="156" t="str">
        <f>IF(R8&lt;&gt;0,A8&amp;" ("&amp;H8&amp;", "&amp;I8&amp;")"&amp;", ","")</f>
        <v/>
      </c>
      <c r="U8" s="156" t="str">
        <f>IF(I8&lt;&gt;J8,A8&amp;" ("&amp;I8&amp;", "&amp;J8&amp;")"&amp;", ","")</f>
        <v/>
      </c>
    </row>
    <row r="9" spans="1:23" customFormat="1" ht="12.75" customHeight="1" thickBot="1" x14ac:dyDescent="0.3">
      <c r="A9" s="307" t="s">
        <v>729</v>
      </c>
      <c r="B9" s="389"/>
      <c r="C9" s="390" t="s">
        <v>795</v>
      </c>
      <c r="D9" s="391"/>
      <c r="E9" s="391"/>
      <c r="F9" s="391"/>
      <c r="G9" s="392"/>
      <c r="H9" s="324">
        <f>SUM(H7:H8)</f>
        <v>0</v>
      </c>
      <c r="I9" s="324">
        <f>SUM(I7:I8)</f>
        <v>0</v>
      </c>
      <c r="J9" s="324">
        <f>SUM(J7:J8)</f>
        <v>0</v>
      </c>
      <c r="K9" s="32">
        <f t="shared" si="0"/>
        <v>0</v>
      </c>
      <c r="L9" s="7" t="str">
        <f t="shared" si="1"/>
        <v>-</v>
      </c>
      <c r="M9" s="7"/>
      <c r="N9" s="19"/>
      <c r="O9" s="19"/>
      <c r="P9" s="19"/>
      <c r="Q9" s="19"/>
      <c r="R9" s="19"/>
      <c r="S9" s="19"/>
      <c r="T9" s="19"/>
    </row>
    <row r="10" spans="1:23" customFormat="1" ht="12.75" customHeight="1" thickBot="1" x14ac:dyDescent="0.3">
      <c r="A10" s="307" t="s">
        <v>731</v>
      </c>
      <c r="B10" s="383"/>
      <c r="C10" s="384" t="s">
        <v>796</v>
      </c>
      <c r="D10" s="384"/>
      <c r="E10" s="385"/>
      <c r="F10" s="385"/>
      <c r="G10" s="386"/>
      <c r="H10" s="320">
        <v>1840547</v>
      </c>
      <c r="I10" s="320">
        <v>1818252</v>
      </c>
      <c r="J10" s="387">
        <v>1818506</v>
      </c>
      <c r="K10" s="163">
        <f t="shared" si="0"/>
        <v>22295</v>
      </c>
      <c r="L10" s="164">
        <f t="shared" si="1"/>
        <v>1.2261776695419557E-2</v>
      </c>
      <c r="M10" s="7"/>
      <c r="N10" s="61"/>
      <c r="O10" s="388"/>
      <c r="P10" s="5">
        <f>IF(AND(K10&gt;750,L10&gt;2),1,0)</f>
        <v>0</v>
      </c>
      <c r="Q10" s="5">
        <f>IF(AND(K10&lt;-750,L10&gt;2),1,0)</f>
        <v>0</v>
      </c>
      <c r="R10" s="5">
        <f>SUM(P10:Q10)</f>
        <v>0</v>
      </c>
      <c r="S10" s="156" t="str">
        <f>IF(R10&lt;&gt;0,A10&amp;" ("&amp;H10&amp;", "&amp;I10&amp;")"&amp;", ","")</f>
        <v/>
      </c>
      <c r="U10" s="156" t="str">
        <f>IF(I10&lt;&gt;J10,A10&amp;" ("&amp;I10&amp;", "&amp;J10&amp;")"&amp;", ","")</f>
        <v xml:space="preserve">1e (1818252, 1818506), </v>
      </c>
      <c r="V10" s="157"/>
    </row>
    <row r="11" spans="1:23" customFormat="1" ht="12.75" customHeight="1" thickBot="1" x14ac:dyDescent="0.3">
      <c r="A11" s="307" t="s">
        <v>733</v>
      </c>
      <c r="B11" s="383"/>
      <c r="C11" s="384" t="s">
        <v>797</v>
      </c>
      <c r="D11" s="384"/>
      <c r="E11" s="385"/>
      <c r="F11" s="385"/>
      <c r="G11" s="386"/>
      <c r="H11" s="320">
        <v>214748</v>
      </c>
      <c r="I11" s="320">
        <v>213942</v>
      </c>
      <c r="J11" s="387">
        <v>213942</v>
      </c>
      <c r="K11" s="163">
        <f t="shared" si="0"/>
        <v>806</v>
      </c>
      <c r="L11" s="164">
        <f t="shared" si="1"/>
        <v>3.7673762047657775E-3</v>
      </c>
      <c r="M11" s="7"/>
      <c r="N11" s="61"/>
      <c r="O11" s="388"/>
      <c r="P11" s="5">
        <f>IF(AND(K11&gt;750,L11&gt;2),1,0)</f>
        <v>0</v>
      </c>
      <c r="Q11" s="5">
        <f>IF(AND(K11&lt;-750,L11&gt;2),1,0)</f>
        <v>0</v>
      </c>
      <c r="R11" s="5">
        <f>SUM(P11:Q11)</f>
        <v>0</v>
      </c>
      <c r="S11" s="156" t="str">
        <f>IF(R11&lt;&gt;0,A11&amp;" ("&amp;H11&amp;", "&amp;I11&amp;")"&amp;", ","")</f>
        <v/>
      </c>
      <c r="U11" s="156" t="str">
        <f>IF(I11&lt;&gt;J11,A11&amp;" ("&amp;I11&amp;", "&amp;J11&amp;")"&amp;", ","")</f>
        <v/>
      </c>
      <c r="V11" s="4"/>
    </row>
    <row r="12" spans="1:23" customFormat="1" ht="12.75" customHeight="1" thickBot="1" x14ac:dyDescent="0.3">
      <c r="A12" s="307" t="s">
        <v>735</v>
      </c>
      <c r="B12" s="383"/>
      <c r="C12" s="384" t="s">
        <v>798</v>
      </c>
      <c r="D12" s="384"/>
      <c r="E12" s="385"/>
      <c r="F12" s="385"/>
      <c r="G12" s="386"/>
      <c r="H12" s="320">
        <v>565543</v>
      </c>
      <c r="I12" s="320">
        <v>817616</v>
      </c>
      <c r="J12" s="387">
        <v>817616</v>
      </c>
      <c r="K12" s="163">
        <f t="shared" si="0"/>
        <v>-252073</v>
      </c>
      <c r="L12" s="164">
        <f t="shared" si="1"/>
        <v>0.44571853952749835</v>
      </c>
      <c r="M12" s="7"/>
      <c r="N12" s="61"/>
      <c r="O12" s="388"/>
      <c r="P12" s="5">
        <f>IF(AND(K12&gt;750,L12&gt;2),1,0)</f>
        <v>0</v>
      </c>
      <c r="Q12" s="5">
        <f>IF(AND(K12&lt;-750,L12&gt;2),1,0)</f>
        <v>0</v>
      </c>
      <c r="R12" s="5">
        <f>SUM(P12:Q12)</f>
        <v>0</v>
      </c>
      <c r="S12" s="156" t="str">
        <f>IF(R12&lt;&gt;0,A12&amp;" ("&amp;H12&amp;", "&amp;I12&amp;")"&amp;", ","")</f>
        <v/>
      </c>
      <c r="U12" s="156" t="str">
        <f>IF(I12&lt;&gt;J12,A12&amp;" ("&amp;I12&amp;", "&amp;J12&amp;")"&amp;", ","")</f>
        <v/>
      </c>
      <c r="V12" s="4"/>
    </row>
    <row r="13" spans="1:23" customFormat="1" ht="12.75" customHeight="1" thickBot="1" x14ac:dyDescent="0.3">
      <c r="A13" s="345" t="s">
        <v>799</v>
      </c>
      <c r="B13" s="383"/>
      <c r="C13" s="384" t="s">
        <v>800</v>
      </c>
      <c r="D13" s="384"/>
      <c r="E13" s="385"/>
      <c r="F13" s="385"/>
      <c r="G13" s="386"/>
      <c r="H13" s="320">
        <v>0</v>
      </c>
      <c r="I13" s="320">
        <v>0</v>
      </c>
      <c r="J13" s="393">
        <v>0</v>
      </c>
      <c r="K13" s="7">
        <f t="shared" si="0"/>
        <v>0</v>
      </c>
      <c r="L13" s="7" t="str">
        <f t="shared" si="1"/>
        <v>-</v>
      </c>
      <c r="M13" s="7"/>
      <c r="V13" s="4"/>
    </row>
    <row r="14" spans="1:23" customFormat="1" ht="12.75" customHeight="1" thickBot="1" x14ac:dyDescent="0.3">
      <c r="A14" s="345" t="s">
        <v>306</v>
      </c>
      <c r="B14" s="383"/>
      <c r="C14" s="384" t="s">
        <v>801</v>
      </c>
      <c r="D14" s="384"/>
      <c r="E14" s="385"/>
      <c r="F14" s="385"/>
      <c r="G14" s="386"/>
      <c r="H14" s="320">
        <v>0</v>
      </c>
      <c r="I14" s="320">
        <v>0</v>
      </c>
      <c r="J14" s="387">
        <v>0</v>
      </c>
      <c r="K14" s="163">
        <f t="shared" si="0"/>
        <v>0</v>
      </c>
      <c r="L14" s="164" t="str">
        <f t="shared" si="1"/>
        <v>-</v>
      </c>
      <c r="M14" s="7"/>
      <c r="N14" s="61"/>
      <c r="O14" s="388"/>
      <c r="P14" s="5">
        <f>IF(AND(K14&gt;750,L14&gt;2),1,0)</f>
        <v>0</v>
      </c>
      <c r="Q14" s="5">
        <f>IF(AND(K14&lt;-750,L14&gt;2),1,0)</f>
        <v>0</v>
      </c>
      <c r="R14" s="5">
        <f>SUM(P14:Q14)</f>
        <v>0</v>
      </c>
      <c r="S14" s="156" t="str">
        <f>IF(R14&lt;&gt;0,A14&amp;" ("&amp;H14&amp;", "&amp;I14&amp;")"&amp;", ","")</f>
        <v/>
      </c>
      <c r="U14" s="156" t="str">
        <f>IF(I14&lt;&gt;J14,A14&amp;" ("&amp;I14&amp;", "&amp;J14&amp;")"&amp;", ","")</f>
        <v/>
      </c>
    </row>
    <row r="15" spans="1:23" customFormat="1" ht="12.75" customHeight="1" thickBot="1" x14ac:dyDescent="0.3">
      <c r="A15" s="345" t="s">
        <v>308</v>
      </c>
      <c r="B15" s="383"/>
      <c r="C15" s="384" t="s">
        <v>802</v>
      </c>
      <c r="D15" s="384"/>
      <c r="E15" s="385"/>
      <c r="F15" s="385"/>
      <c r="G15" s="386"/>
      <c r="H15" s="320">
        <v>0</v>
      </c>
      <c r="I15" s="320">
        <v>0</v>
      </c>
      <c r="J15" s="387">
        <v>0</v>
      </c>
      <c r="K15" s="163">
        <f t="shared" si="0"/>
        <v>0</v>
      </c>
      <c r="L15" s="164" t="str">
        <f t="shared" si="1"/>
        <v>-</v>
      </c>
      <c r="M15" s="7"/>
      <c r="N15" s="61"/>
      <c r="O15" s="388"/>
      <c r="P15" s="5">
        <f>IF(AND(K15&gt;750,L15&gt;2),1,0)</f>
        <v>0</v>
      </c>
      <c r="Q15" s="5">
        <f>IF(AND(K15&lt;-750,L15&gt;2),1,0)</f>
        <v>0</v>
      </c>
      <c r="R15" s="5">
        <f>SUM(P15:Q15)</f>
        <v>0</v>
      </c>
      <c r="S15" s="156" t="str">
        <f>IF(R15&lt;&gt;0,A15&amp;" ("&amp;H15&amp;", "&amp;I15&amp;")"&amp;", ","")</f>
        <v/>
      </c>
      <c r="U15" s="156" t="str">
        <f>IF(I15&lt;&gt;J15,A15&amp;" ("&amp;I15&amp;", "&amp;J15&amp;")"&amp;", ","")</f>
        <v/>
      </c>
    </row>
    <row r="16" spans="1:23" customFormat="1" ht="12.75" customHeight="1" x14ac:dyDescent="0.25">
      <c r="A16" s="345" t="s">
        <v>803</v>
      </c>
      <c r="B16" s="335" t="s">
        <v>804</v>
      </c>
      <c r="C16" s="360"/>
      <c r="D16" s="361"/>
      <c r="E16" s="361"/>
      <c r="F16" s="361"/>
      <c r="G16" s="362"/>
      <c r="H16" s="349">
        <f>SUM(H6:H8)+SUM(H10:H15)</f>
        <v>2630170</v>
      </c>
      <c r="I16" s="349">
        <f>SUM(I6:I8)+SUM(I10:I15)</f>
        <v>2850064</v>
      </c>
      <c r="J16" s="350">
        <f>SUM(J6:J8)+SUM(J10:J15)</f>
        <v>2850064</v>
      </c>
      <c r="K16" s="7">
        <f t="shared" si="0"/>
        <v>-219894</v>
      </c>
      <c r="L16" s="7">
        <f t="shared" si="1"/>
        <v>8.3604481839576916E-2</v>
      </c>
      <c r="M16" s="7"/>
      <c r="N16" s="19"/>
      <c r="O16" s="19"/>
      <c r="P16" s="19"/>
      <c r="Q16" s="19"/>
      <c r="R16" s="19"/>
      <c r="S16" s="19"/>
      <c r="T16" s="19"/>
    </row>
    <row r="17" spans="1:22" customFormat="1" ht="12.75" customHeight="1" x14ac:dyDescent="0.25">
      <c r="A17" s="345"/>
      <c r="B17" s="351"/>
      <c r="C17" s="352"/>
      <c r="D17" s="353"/>
      <c r="E17" s="353"/>
      <c r="F17" s="353"/>
      <c r="G17" s="354"/>
      <c r="H17" s="328"/>
      <c r="I17" s="328"/>
      <c r="J17" s="328"/>
      <c r="K17" s="7"/>
      <c r="L17" s="7"/>
      <c r="M17" s="7"/>
    </row>
    <row r="18" spans="1:22" customFormat="1" ht="12.75" customHeight="1" thickBot="1" x14ac:dyDescent="0.3">
      <c r="A18" s="345">
        <v>2</v>
      </c>
      <c r="B18" s="357" t="s">
        <v>805</v>
      </c>
      <c r="C18" s="358"/>
      <c r="D18" s="309"/>
      <c r="E18" s="309"/>
      <c r="F18" s="309"/>
      <c r="G18" s="310"/>
      <c r="H18" s="329"/>
      <c r="I18" s="329"/>
      <c r="J18" s="329"/>
      <c r="K18" s="7"/>
      <c r="L18" s="7"/>
      <c r="M18" s="7"/>
    </row>
    <row r="19" spans="1:22" customFormat="1" ht="12.75" customHeight="1" thickBot="1" x14ac:dyDescent="0.3">
      <c r="A19" s="345" t="s">
        <v>738</v>
      </c>
      <c r="B19" s="331"/>
      <c r="C19" s="394" t="s">
        <v>806</v>
      </c>
      <c r="D19" s="315"/>
      <c r="E19" s="315"/>
      <c r="F19" s="315"/>
      <c r="G19" s="316"/>
      <c r="H19" s="320">
        <v>3166</v>
      </c>
      <c r="I19" s="320">
        <v>3220</v>
      </c>
      <c r="J19" s="318">
        <v>3220</v>
      </c>
      <c r="K19" s="163">
        <f t="shared" ref="K19:K26" si="2">H19-I19</f>
        <v>-54</v>
      </c>
      <c r="L19" s="164">
        <f t="shared" ref="L19:L26" si="3">IF(AND(OR(H19=0,I19&lt;&gt;0),OR(I19=0,H19&lt;&gt;0)),IF((H19+I19+K19&lt;&gt;0),IF(AND(OR(H19&gt;0,I19&lt;0),OR(I19&gt;0,H19&lt;0)),ABS(K19/MIN(ABS(I19),ABS(H19))),10),"-"),10)</f>
        <v>1.7056222362602652E-2</v>
      </c>
      <c r="M19" s="7"/>
      <c r="N19" s="61"/>
      <c r="O19" s="388"/>
      <c r="P19" s="5">
        <f>IF(AND(K19&gt;750,L19&gt;2),1,0)</f>
        <v>0</v>
      </c>
      <c r="Q19" s="5">
        <f>IF(AND(K19&lt;-750,L19&gt;2),1,0)</f>
        <v>0</v>
      </c>
      <c r="R19" s="5">
        <f>SUM(P19:Q19)</f>
        <v>0</v>
      </c>
      <c r="S19" s="156" t="str">
        <f>IF(R19&lt;&gt;0,A19&amp;" ("&amp;H19&amp;", "&amp;I19&amp;")"&amp;", ","")</f>
        <v/>
      </c>
      <c r="U19" s="156" t="str">
        <f>IF(I19&lt;&gt;J19,A19&amp;" ("&amp;I19&amp;", "&amp;J19&amp;")"&amp;", ","")</f>
        <v/>
      </c>
    </row>
    <row r="20" spans="1:22" customFormat="1" ht="12.75" customHeight="1" thickBot="1" x14ac:dyDescent="0.3">
      <c r="A20" s="345" t="s">
        <v>740</v>
      </c>
      <c r="B20" s="331"/>
      <c r="C20" s="394" t="s">
        <v>807</v>
      </c>
      <c r="D20" s="333"/>
      <c r="E20" s="333"/>
      <c r="F20" s="333"/>
      <c r="G20" s="334"/>
      <c r="H20" s="320">
        <v>178395</v>
      </c>
      <c r="I20" s="320">
        <v>138727</v>
      </c>
      <c r="J20" s="318">
        <v>138727</v>
      </c>
      <c r="K20" s="163">
        <f t="shared" si="2"/>
        <v>39668</v>
      </c>
      <c r="L20" s="164">
        <f t="shared" si="3"/>
        <v>0.28594289503845682</v>
      </c>
      <c r="M20" s="7"/>
      <c r="N20" s="61"/>
      <c r="O20" s="388"/>
      <c r="P20" s="5">
        <f>IF(AND(K20&gt;750,L20&gt;2),1,0)</f>
        <v>0</v>
      </c>
      <c r="Q20" s="5">
        <f>IF(AND(K20&lt;-750,L20&gt;2),1,0)</f>
        <v>0</v>
      </c>
      <c r="R20" s="5">
        <f>SUM(P20:Q20)</f>
        <v>0</v>
      </c>
      <c r="S20" s="156" t="str">
        <f>IF(R20&lt;&gt;0,A20&amp;" ("&amp;H20&amp;", "&amp;I20&amp;")"&amp;", ","")</f>
        <v/>
      </c>
      <c r="U20" s="156" t="str">
        <f>IF(I20&lt;&gt;J20,A20&amp;" ("&amp;I20&amp;", "&amp;J20&amp;")"&amp;", ","")</f>
        <v/>
      </c>
      <c r="V20" s="157"/>
    </row>
    <row r="21" spans="1:22" customFormat="1" ht="12.75" customHeight="1" thickBot="1" x14ac:dyDescent="0.3">
      <c r="A21" s="345" t="s">
        <v>742</v>
      </c>
      <c r="B21" s="331"/>
      <c r="C21" s="394" t="s">
        <v>798</v>
      </c>
      <c r="D21" s="333"/>
      <c r="E21" s="333"/>
      <c r="F21" s="333"/>
      <c r="G21" s="334"/>
      <c r="H21" s="21">
        <v>204486</v>
      </c>
      <c r="I21" s="320">
        <v>207411</v>
      </c>
      <c r="J21" s="318">
        <v>207411</v>
      </c>
      <c r="K21" s="163">
        <f t="shared" si="2"/>
        <v>-2925</v>
      </c>
      <c r="L21" s="164">
        <f t="shared" si="3"/>
        <v>1.4304157741850298E-2</v>
      </c>
      <c r="M21" s="7"/>
      <c r="N21" s="61"/>
      <c r="O21" s="388"/>
      <c r="P21" s="5">
        <f>IF(AND(K21&gt;750,L21&gt;2),1,0)</f>
        <v>0</v>
      </c>
      <c r="Q21" s="5">
        <f>IF(AND(K21&lt;-750,L21&gt;2),1,0)</f>
        <v>0</v>
      </c>
      <c r="R21" s="5">
        <f>SUM(P21:Q21)</f>
        <v>0</v>
      </c>
      <c r="S21" s="156" t="str">
        <f>IF(R21&lt;&gt;0,A21&amp;" ("&amp;H21&amp;", "&amp;I21&amp;")"&amp;", ","")</f>
        <v/>
      </c>
      <c r="U21" s="156" t="str">
        <f>IF(I21&lt;&gt;J21,A21&amp;" ("&amp;I21&amp;", "&amp;J21&amp;")"&amp;", ","")</f>
        <v/>
      </c>
      <c r="V21" s="4"/>
    </row>
    <row r="22" spans="1:22" customFormat="1" ht="12.75" customHeight="1" x14ac:dyDescent="0.25">
      <c r="A22" s="345" t="s">
        <v>744</v>
      </c>
      <c r="B22" s="331"/>
      <c r="C22" s="394" t="s">
        <v>808</v>
      </c>
      <c r="D22" s="333"/>
      <c r="E22" s="333"/>
      <c r="F22" s="333"/>
      <c r="G22" s="334"/>
      <c r="H22" s="21">
        <v>491499</v>
      </c>
      <c r="I22" s="21">
        <v>238496</v>
      </c>
      <c r="J22" s="21">
        <v>238496</v>
      </c>
      <c r="K22" s="7">
        <f t="shared" si="2"/>
        <v>253003</v>
      </c>
      <c r="L22" s="7">
        <f t="shared" si="3"/>
        <v>1.0608270159667248</v>
      </c>
      <c r="M22" s="7"/>
      <c r="N22" s="92"/>
      <c r="O22" s="19"/>
      <c r="P22" s="19"/>
      <c r="Q22" s="19"/>
      <c r="R22" s="19"/>
      <c r="S22" s="19"/>
      <c r="T22" s="19"/>
      <c r="V22" s="4"/>
    </row>
    <row r="23" spans="1:22" customFormat="1" ht="12.75" customHeight="1" thickBot="1" x14ac:dyDescent="0.3">
      <c r="A23" s="345" t="s">
        <v>746</v>
      </c>
      <c r="B23" s="331"/>
      <c r="C23" s="394" t="s">
        <v>809</v>
      </c>
      <c r="D23" s="395"/>
      <c r="E23" s="395"/>
      <c r="F23" s="395"/>
      <c r="G23" s="396"/>
      <c r="H23" s="21">
        <v>0</v>
      </c>
      <c r="I23" s="21">
        <v>0</v>
      </c>
      <c r="J23" s="112">
        <v>0</v>
      </c>
      <c r="K23" s="7">
        <f t="shared" si="2"/>
        <v>0</v>
      </c>
      <c r="L23" s="7" t="str">
        <f t="shared" si="3"/>
        <v>-</v>
      </c>
      <c r="M23" s="7"/>
      <c r="N23" s="142"/>
      <c r="O23" s="19"/>
      <c r="P23" s="19"/>
      <c r="Q23" s="19"/>
      <c r="R23" s="19"/>
      <c r="S23" s="19"/>
      <c r="T23" s="19"/>
      <c r="V23" s="157"/>
    </row>
    <row r="24" spans="1:22" customFormat="1" ht="12.75" customHeight="1" thickBot="1" x14ac:dyDescent="0.3">
      <c r="A24" s="345" t="s">
        <v>748</v>
      </c>
      <c r="B24" s="331"/>
      <c r="C24" s="394" t="s">
        <v>810</v>
      </c>
      <c r="D24" s="333"/>
      <c r="E24" s="333"/>
      <c r="F24" s="333"/>
      <c r="G24" s="334"/>
      <c r="H24" s="320">
        <v>0</v>
      </c>
      <c r="I24" s="320">
        <v>0</v>
      </c>
      <c r="J24" s="318">
        <v>0</v>
      </c>
      <c r="K24" s="163">
        <f t="shared" si="2"/>
        <v>0</v>
      </c>
      <c r="L24" s="164" t="str">
        <f t="shared" si="3"/>
        <v>-</v>
      </c>
      <c r="M24" s="7"/>
      <c r="N24" s="61"/>
      <c r="O24" s="388"/>
      <c r="P24" s="5">
        <f>IF(AND(K24&gt;750,L24&gt;2),1,0)</f>
        <v>0</v>
      </c>
      <c r="Q24" s="5">
        <f>IF(AND(K24&lt;-750,L24&gt;2),1,0)</f>
        <v>0</v>
      </c>
      <c r="R24" s="5">
        <f>SUM(P24:Q24)</f>
        <v>0</v>
      </c>
      <c r="S24" s="156" t="str">
        <f>IF(R24&lt;&gt;0,A24&amp;" ("&amp;H24&amp;", "&amp;I24&amp;")"&amp;", ","")</f>
        <v/>
      </c>
      <c r="U24" s="156" t="str">
        <f>IF(I24&lt;&gt;J24,A24&amp;" ("&amp;I24&amp;", "&amp;J24&amp;")"&amp;", ","")</f>
        <v/>
      </c>
      <c r="V24" s="4"/>
    </row>
    <row r="25" spans="1:22" customFormat="1" ht="12.75" customHeight="1" thickBot="1" x14ac:dyDescent="0.3">
      <c r="A25" s="345" t="s">
        <v>811</v>
      </c>
      <c r="B25" s="331"/>
      <c r="C25" s="394" t="s">
        <v>812</v>
      </c>
      <c r="D25" s="333"/>
      <c r="E25" s="333"/>
      <c r="F25" s="333"/>
      <c r="G25" s="334"/>
      <c r="H25" s="320">
        <v>0</v>
      </c>
      <c r="I25" s="320">
        <v>0</v>
      </c>
      <c r="J25" s="318">
        <v>0</v>
      </c>
      <c r="K25" s="163">
        <f t="shared" si="2"/>
        <v>0</v>
      </c>
      <c r="L25" s="164" t="str">
        <f t="shared" si="3"/>
        <v>-</v>
      </c>
      <c r="M25" s="7"/>
      <c r="N25" s="61"/>
      <c r="O25" s="388"/>
      <c r="P25" s="5">
        <f>IF(AND(K25&gt;750,L25&gt;2),1,0)</f>
        <v>0</v>
      </c>
      <c r="Q25" s="5">
        <f>IF(AND(K25&lt;-750,L25&gt;2),1,0)</f>
        <v>0</v>
      </c>
      <c r="R25" s="5">
        <f>SUM(P25:Q25)</f>
        <v>0</v>
      </c>
      <c r="S25" s="156" t="str">
        <f>IF(R25&lt;&gt;0,A25&amp;" ("&amp;H25&amp;", "&amp;I25&amp;")"&amp;", ","")</f>
        <v/>
      </c>
      <c r="U25" s="156" t="str">
        <f>IF(I25&lt;&gt;J25,A25&amp;" ("&amp;I25&amp;", "&amp;J25&amp;")"&amp;", ","")</f>
        <v/>
      </c>
      <c r="V25" s="4"/>
    </row>
    <row r="26" spans="1:22" customFormat="1" ht="12.75" customHeight="1" x14ac:dyDescent="0.25">
      <c r="A26" s="345" t="s">
        <v>813</v>
      </c>
      <c r="B26" s="335" t="s">
        <v>814</v>
      </c>
      <c r="C26" s="360"/>
      <c r="D26" s="360"/>
      <c r="E26" s="360"/>
      <c r="F26" s="360"/>
      <c r="G26" s="397"/>
      <c r="H26" s="349">
        <f>SUM(H19:H25)</f>
        <v>877546</v>
      </c>
      <c r="I26" s="349">
        <f>SUM(I19:I25)</f>
        <v>587854</v>
      </c>
      <c r="J26" s="350">
        <f>SUM(J19:J25)</f>
        <v>587854</v>
      </c>
      <c r="K26" s="7">
        <f t="shared" si="2"/>
        <v>289692</v>
      </c>
      <c r="L26" s="7">
        <f t="shared" si="3"/>
        <v>0.49279583025717272</v>
      </c>
      <c r="M26" s="7"/>
      <c r="N26" s="19"/>
      <c r="O26" s="19"/>
      <c r="P26" s="19"/>
      <c r="Q26" s="19"/>
      <c r="R26" s="19"/>
      <c r="S26" s="19"/>
      <c r="T26" s="19"/>
      <c r="V26" s="4"/>
    </row>
    <row r="27" spans="1:22" customFormat="1" ht="12.75" customHeight="1" x14ac:dyDescent="0.25">
      <c r="A27" s="345"/>
      <c r="B27" s="348"/>
      <c r="C27" s="330"/>
      <c r="D27" s="326"/>
      <c r="E27" s="326"/>
      <c r="F27" s="326"/>
      <c r="G27" s="327"/>
      <c r="H27" s="328"/>
      <c r="I27" s="328"/>
      <c r="J27" s="328"/>
      <c r="K27" s="7"/>
      <c r="L27" s="7"/>
      <c r="M27" s="7"/>
      <c r="V27" s="4"/>
    </row>
    <row r="28" spans="1:22" customFormat="1" ht="12.75" customHeight="1" thickBot="1" x14ac:dyDescent="0.3">
      <c r="A28" s="345">
        <v>3</v>
      </c>
      <c r="B28" s="357" t="s">
        <v>815</v>
      </c>
      <c r="C28" s="398"/>
      <c r="D28" s="399"/>
      <c r="E28" s="399"/>
      <c r="F28" s="399"/>
      <c r="G28" s="400"/>
      <c r="H28" s="329"/>
      <c r="I28" s="329"/>
      <c r="J28" s="329"/>
      <c r="K28" s="7"/>
      <c r="L28" s="7"/>
      <c r="M28" s="7"/>
      <c r="V28" s="4"/>
    </row>
    <row r="29" spans="1:22" customFormat="1" ht="12.75" customHeight="1" thickBot="1" x14ac:dyDescent="0.3">
      <c r="A29" s="345" t="s">
        <v>816</v>
      </c>
      <c r="B29" s="331"/>
      <c r="C29" s="394" t="s">
        <v>817</v>
      </c>
      <c r="D29" s="394"/>
      <c r="E29" s="333"/>
      <c r="F29" s="333"/>
      <c r="G29" s="334"/>
      <c r="H29" s="21">
        <v>0</v>
      </c>
      <c r="I29" s="21">
        <v>0</v>
      </c>
      <c r="J29" s="167">
        <v>0</v>
      </c>
      <c r="K29" s="163">
        <f t="shared" ref="K29:K37" si="4">H29-I29</f>
        <v>0</v>
      </c>
      <c r="L29" s="164" t="str">
        <f t="shared" ref="L29:L37" si="5">IF(AND(OR(H29=0,I29&lt;&gt;0),OR(I29=0,H29&lt;&gt;0)),IF((H29+I29+K29&lt;&gt;0),IF(AND(OR(H29&gt;0,I29&lt;0),OR(I29&gt;0,H29&lt;0)),ABS(K29/MIN(ABS(I29),ABS(H29))),10),"-"),10)</f>
        <v>-</v>
      </c>
      <c r="M29" s="7"/>
      <c r="N29" s="61"/>
      <c r="O29" s="388"/>
      <c r="P29" s="5">
        <f>IF(AND(K29&gt;750,L29&gt;2),1,0)</f>
        <v>0</v>
      </c>
      <c r="Q29" s="5">
        <f>IF(AND(K29&lt;-750,L29&gt;2),1,0)</f>
        <v>0</v>
      </c>
      <c r="R29" s="5">
        <f>SUM(P29:Q29)</f>
        <v>0</v>
      </c>
      <c r="S29" s="156" t="str">
        <f>IF(R29&lt;&gt;0,A29&amp;" ("&amp;H29&amp;", "&amp;I29&amp;")"&amp;", ","")</f>
        <v/>
      </c>
      <c r="U29" s="156" t="str">
        <f>IF(I29&lt;&gt;J29,A29&amp;" ("&amp;I29&amp;", "&amp;J29&amp;")"&amp;", ","")</f>
        <v/>
      </c>
      <c r="V29" s="4"/>
    </row>
    <row r="30" spans="1:22" customFormat="1" ht="12.75" customHeight="1" thickBot="1" x14ac:dyDescent="0.3">
      <c r="A30" s="345" t="s">
        <v>818</v>
      </c>
      <c r="B30" s="331"/>
      <c r="C30" s="394" t="s">
        <v>819</v>
      </c>
      <c r="D30" s="394"/>
      <c r="E30" s="333"/>
      <c r="F30" s="333"/>
      <c r="G30" s="334"/>
      <c r="H30" s="21">
        <v>4504</v>
      </c>
      <c r="I30" s="21">
        <v>2951</v>
      </c>
      <c r="J30" s="167">
        <v>2951</v>
      </c>
      <c r="K30" s="163">
        <f t="shared" si="4"/>
        <v>1553</v>
      </c>
      <c r="L30" s="164">
        <f t="shared" si="5"/>
        <v>0.52626228397153507</v>
      </c>
      <c r="M30" s="7"/>
      <c r="N30" s="61"/>
      <c r="O30" s="388"/>
      <c r="P30" s="5">
        <f>IF(AND(K30&gt;750,L30&gt;2),1,0)</f>
        <v>0</v>
      </c>
      <c r="Q30" s="5">
        <f>IF(AND(K30&lt;-750,L30&gt;2),1,0)</f>
        <v>0</v>
      </c>
      <c r="R30" s="5">
        <f>SUM(P30:Q30)</f>
        <v>0</v>
      </c>
      <c r="S30" s="156" t="str">
        <f>IF(R30&lt;&gt;0,A30&amp;" ("&amp;H30&amp;", "&amp;I30&amp;")"&amp;", ","")</f>
        <v/>
      </c>
      <c r="U30" s="156" t="str">
        <f>IF(I30&lt;&gt;J30,A30&amp;" ("&amp;I30&amp;", "&amp;J30&amp;")"&amp;", ","")</f>
        <v/>
      </c>
      <c r="V30" s="4"/>
    </row>
    <row r="31" spans="1:22" customFormat="1" ht="12.75" customHeight="1" thickBot="1" x14ac:dyDescent="0.3">
      <c r="A31" s="345" t="s">
        <v>820</v>
      </c>
      <c r="B31" s="331"/>
      <c r="C31" s="394" t="s">
        <v>821</v>
      </c>
      <c r="D31" s="394"/>
      <c r="E31" s="333"/>
      <c r="F31" s="333"/>
      <c r="G31" s="334"/>
      <c r="H31" s="21">
        <v>373</v>
      </c>
      <c r="I31" s="21">
        <v>269</v>
      </c>
      <c r="J31" s="167">
        <v>269</v>
      </c>
      <c r="K31" s="163">
        <f t="shared" si="4"/>
        <v>104</v>
      </c>
      <c r="L31" s="164">
        <f t="shared" si="5"/>
        <v>0.38661710037174724</v>
      </c>
      <c r="M31" s="7"/>
      <c r="N31" s="61"/>
      <c r="O31" s="388"/>
      <c r="P31" s="5">
        <f>IF(AND(K31&gt;750,L31&gt;2),1,0)</f>
        <v>0</v>
      </c>
      <c r="Q31" s="5">
        <f>IF(AND(K31&lt;-750,L31&gt;2),1,0)</f>
        <v>0</v>
      </c>
      <c r="R31" s="5">
        <f>SUM(P31:Q31)</f>
        <v>0</v>
      </c>
      <c r="S31" s="156" t="str">
        <f>IF(R31&lt;&gt;0,A31&amp;" ("&amp;H31&amp;", "&amp;I31&amp;")"&amp;", ","")</f>
        <v/>
      </c>
      <c r="U31" s="156" t="str">
        <f>IF(I31&lt;&gt;J31,A31&amp;" ("&amp;I31&amp;", "&amp;J31&amp;")"&amp;", ","")</f>
        <v/>
      </c>
      <c r="V31" s="4"/>
    </row>
    <row r="32" spans="1:22" customFormat="1" ht="12.75" customHeight="1" thickBot="1" x14ac:dyDescent="0.3">
      <c r="A32" s="345" t="s">
        <v>822</v>
      </c>
      <c r="B32" s="331"/>
      <c r="C32" s="394" t="s">
        <v>823</v>
      </c>
      <c r="D32" s="394"/>
      <c r="E32" s="333"/>
      <c r="F32" s="333"/>
      <c r="G32" s="334"/>
      <c r="H32" s="21">
        <v>0</v>
      </c>
      <c r="I32" s="21">
        <v>0</v>
      </c>
      <c r="J32" s="167">
        <v>0</v>
      </c>
      <c r="K32" s="163">
        <f t="shared" si="4"/>
        <v>0</v>
      </c>
      <c r="L32" s="164" t="str">
        <f t="shared" si="5"/>
        <v>-</v>
      </c>
      <c r="M32" s="7"/>
      <c r="N32" s="61"/>
      <c r="O32" s="388"/>
      <c r="P32" s="5">
        <f>IF(AND(K32&gt;750,L32&gt;2),1,0)</f>
        <v>0</v>
      </c>
      <c r="Q32" s="5">
        <f>IF(AND(K32&lt;-750,L32&gt;2),1,0)</f>
        <v>0</v>
      </c>
      <c r="R32" s="5">
        <f>SUM(P32:Q32)</f>
        <v>0</v>
      </c>
      <c r="S32" s="156" t="str">
        <f>IF(R32&lt;&gt;0,A32&amp;" ("&amp;H32&amp;", "&amp;I32&amp;")"&amp;", ","")</f>
        <v/>
      </c>
      <c r="U32" s="156" t="str">
        <f>IF(I32&lt;&gt;J32,A32&amp;" ("&amp;I32&amp;", "&amp;J32&amp;")"&amp;", ","")</f>
        <v/>
      </c>
      <c r="V32" s="4"/>
    </row>
    <row r="33" spans="1:22" customFormat="1" ht="12.75" customHeight="1" thickBot="1" x14ac:dyDescent="0.3">
      <c r="A33" s="345" t="s">
        <v>824</v>
      </c>
      <c r="B33" s="331"/>
      <c r="C33" s="394" t="s">
        <v>825</v>
      </c>
      <c r="D33" s="394"/>
      <c r="E33" s="333"/>
      <c r="F33" s="333"/>
      <c r="G33" s="334"/>
      <c r="H33" s="21">
        <v>0</v>
      </c>
      <c r="I33" s="21">
        <v>0</v>
      </c>
      <c r="J33" s="112">
        <v>0</v>
      </c>
      <c r="K33" s="7">
        <f t="shared" si="4"/>
        <v>0</v>
      </c>
      <c r="L33" s="7" t="str">
        <f t="shared" si="5"/>
        <v>-</v>
      </c>
      <c r="M33" s="7"/>
      <c r="V33" s="4"/>
    </row>
    <row r="34" spans="1:22" customFormat="1" ht="12.75" customHeight="1" thickBot="1" x14ac:dyDescent="0.3">
      <c r="A34" s="345" t="s">
        <v>826</v>
      </c>
      <c r="B34" s="331"/>
      <c r="C34" s="394" t="s">
        <v>827</v>
      </c>
      <c r="D34" s="394"/>
      <c r="E34" s="333"/>
      <c r="F34" s="333"/>
      <c r="G34" s="334"/>
      <c r="H34" s="21">
        <v>1655</v>
      </c>
      <c r="I34" s="21">
        <v>1655</v>
      </c>
      <c r="J34" s="167">
        <v>1655</v>
      </c>
      <c r="K34" s="163">
        <f t="shared" si="4"/>
        <v>0</v>
      </c>
      <c r="L34" s="164">
        <f t="shared" si="5"/>
        <v>0</v>
      </c>
      <c r="M34" s="7"/>
      <c r="N34" s="61"/>
      <c r="O34" s="388"/>
      <c r="P34" s="5">
        <f>IF(AND(K34&gt;750,L34&gt;2),1,0)</f>
        <v>0</v>
      </c>
      <c r="Q34" s="5">
        <f>IF(AND(K34&lt;-750,L34&gt;2),1,0)</f>
        <v>0</v>
      </c>
      <c r="R34" s="5">
        <f>SUM(P34:Q34)</f>
        <v>0</v>
      </c>
      <c r="S34" s="156" t="str">
        <f>IF(R34&lt;&gt;0,A34&amp;" ("&amp;H34&amp;", "&amp;I34&amp;")"&amp;", ","")</f>
        <v/>
      </c>
      <c r="U34" s="156" t="str">
        <f>IF(I34&lt;&gt;J34,A34&amp;" ("&amp;I34&amp;", "&amp;J34&amp;")"&amp;", ","")</f>
        <v/>
      </c>
      <c r="V34" s="4"/>
    </row>
    <row r="35" spans="1:22" customFormat="1" ht="12.75" customHeight="1" thickBot="1" x14ac:dyDescent="0.3">
      <c r="A35" s="345" t="s">
        <v>828</v>
      </c>
      <c r="B35" s="331"/>
      <c r="C35" s="394" t="s">
        <v>829</v>
      </c>
      <c r="D35" s="394"/>
      <c r="E35" s="333"/>
      <c r="F35" s="333"/>
      <c r="G35" s="334"/>
      <c r="H35" s="21">
        <v>0</v>
      </c>
      <c r="I35" s="21">
        <v>0</v>
      </c>
      <c r="J35" s="112">
        <v>0</v>
      </c>
      <c r="K35" s="7">
        <f t="shared" si="4"/>
        <v>0</v>
      </c>
      <c r="L35" s="7" t="str">
        <f t="shared" si="5"/>
        <v>-</v>
      </c>
      <c r="M35" s="7"/>
      <c r="V35" s="157"/>
    </row>
    <row r="36" spans="1:22" customFormat="1" ht="12.75" customHeight="1" thickBot="1" x14ac:dyDescent="0.3">
      <c r="A36" s="345" t="s">
        <v>830</v>
      </c>
      <c r="B36" s="401"/>
      <c r="C36" s="402" t="s">
        <v>831</v>
      </c>
      <c r="D36" s="402"/>
      <c r="E36" s="403"/>
      <c r="F36" s="403"/>
      <c r="G36" s="404"/>
      <c r="H36" s="21">
        <v>347143</v>
      </c>
      <c r="I36" s="21">
        <v>340454</v>
      </c>
      <c r="J36" s="167">
        <v>340454</v>
      </c>
      <c r="K36" s="163">
        <f t="shared" si="4"/>
        <v>6689</v>
      </c>
      <c r="L36" s="164">
        <f t="shared" si="5"/>
        <v>1.9647294494997854E-2</v>
      </c>
      <c r="M36" s="7"/>
      <c r="N36" s="61"/>
      <c r="O36" s="388"/>
      <c r="P36" s="5">
        <f>IF(AND(K36&gt;750,L36&gt;2),1,0)</f>
        <v>0</v>
      </c>
      <c r="Q36" s="5">
        <f>IF(AND(K36&lt;-750,L36&gt;2),1,0)</f>
        <v>0</v>
      </c>
      <c r="R36" s="5">
        <f>SUM(P36:Q36)</f>
        <v>0</v>
      </c>
      <c r="S36" s="156" t="str">
        <f>IF(R36&lt;&gt;0,A36&amp;" ("&amp;H36&amp;", "&amp;I36&amp;")"&amp;", ","")</f>
        <v/>
      </c>
      <c r="U36" s="156" t="str">
        <f>IF(I36&lt;&gt;J36,A36&amp;" ("&amp;I36&amp;", "&amp;J36&amp;")"&amp;", ","")</f>
        <v/>
      </c>
    </row>
    <row r="37" spans="1:22" customFormat="1" ht="12.75" customHeight="1" x14ac:dyDescent="0.25">
      <c r="A37" s="345" t="s">
        <v>832</v>
      </c>
      <c r="B37" s="405" t="s">
        <v>833</v>
      </c>
      <c r="C37" s="390"/>
      <c r="D37" s="406"/>
      <c r="E37" s="406"/>
      <c r="F37" s="406"/>
      <c r="G37" s="407"/>
      <c r="H37" s="349">
        <f>SUM(H29:H36)</f>
        <v>353675</v>
      </c>
      <c r="I37" s="349">
        <f>SUM(I29:I36)</f>
        <v>345329</v>
      </c>
      <c r="J37" s="350">
        <f>SUM(J29:J36)</f>
        <v>345329</v>
      </c>
      <c r="K37" s="7">
        <f t="shared" si="4"/>
        <v>8346</v>
      </c>
      <c r="L37" s="7">
        <f t="shared" si="5"/>
        <v>2.4168256937587056E-2</v>
      </c>
      <c r="M37" s="7"/>
      <c r="N37" s="19"/>
      <c r="O37" s="19"/>
      <c r="P37" s="19"/>
      <c r="Q37" s="19"/>
      <c r="R37" s="19"/>
      <c r="S37" s="19"/>
      <c r="T37" s="19"/>
    </row>
    <row r="38" spans="1:22" customFormat="1" ht="12.75" customHeight="1" thickBot="1" x14ac:dyDescent="0.3">
      <c r="A38" s="345"/>
      <c r="B38" s="348"/>
      <c r="C38" s="330"/>
      <c r="D38" s="326"/>
      <c r="E38" s="326"/>
      <c r="F38" s="326"/>
      <c r="G38" s="327"/>
      <c r="H38" s="328"/>
      <c r="I38" s="328"/>
      <c r="J38" s="328"/>
      <c r="K38" s="7"/>
      <c r="L38" s="7"/>
      <c r="M38" s="7"/>
    </row>
    <row r="39" spans="1:22" customFormat="1" ht="12.75" customHeight="1" thickBot="1" x14ac:dyDescent="0.3">
      <c r="A39" s="345">
        <v>4</v>
      </c>
      <c r="B39" s="12" t="s">
        <v>834</v>
      </c>
      <c r="C39" s="333"/>
      <c r="D39" s="333"/>
      <c r="E39" s="333"/>
      <c r="F39" s="333"/>
      <c r="G39" s="386"/>
      <c r="H39" s="21">
        <v>0</v>
      </c>
      <c r="I39" s="21">
        <v>0</v>
      </c>
      <c r="J39" s="167">
        <v>0</v>
      </c>
      <c r="K39" s="163">
        <f>H39-I39</f>
        <v>0</v>
      </c>
      <c r="L39" s="164" t="str">
        <f>IF(AND(OR(H39=0,I39&lt;&gt;0),OR(I39=0,H39&lt;&gt;0)),IF((H39+I39+K39&lt;&gt;0),IF(AND(OR(H39&gt;0,I39&lt;0),OR(I39&gt;0,H39&lt;0)),ABS(K39/MIN(ABS(I39),ABS(H39))),10),"-"),10)</f>
        <v>-</v>
      </c>
      <c r="M39" s="7"/>
      <c r="N39" s="61"/>
      <c r="O39" s="388"/>
      <c r="P39" s="5">
        <f>IF(AND(K39&gt;750,L39&gt;2),1,0)</f>
        <v>0</v>
      </c>
      <c r="Q39" s="5">
        <f>IF(AND(K39&lt;-750,L39&gt;2),1,0)</f>
        <v>0</v>
      </c>
      <c r="R39" s="5">
        <f>SUM(P39:Q39)</f>
        <v>0</v>
      </c>
      <c r="S39" s="156" t="str">
        <f>IF(R39&lt;&gt;0,A39&amp;" ("&amp;H39&amp;", "&amp;I39&amp;")"&amp;", ","")</f>
        <v/>
      </c>
      <c r="U39" s="156" t="str">
        <f>IF(I39&lt;&gt;J39,A39&amp;" ("&amp;I39&amp;", "&amp;J39&amp;")"&amp;", ","")</f>
        <v/>
      </c>
    </row>
    <row r="40" spans="1:22" customFormat="1" ht="12.75" customHeight="1" x14ac:dyDescent="0.25">
      <c r="A40" s="345"/>
      <c r="B40" s="348"/>
      <c r="C40" s="330"/>
      <c r="D40" s="326"/>
      <c r="E40" s="326"/>
      <c r="F40" s="326"/>
      <c r="G40" s="327"/>
      <c r="H40" s="328"/>
      <c r="I40" s="328"/>
      <c r="J40" s="328"/>
      <c r="K40" s="7"/>
      <c r="L40" s="7"/>
      <c r="M40" s="7"/>
    </row>
    <row r="41" spans="1:22" customFormat="1" ht="12.75" customHeight="1" x14ac:dyDescent="0.25">
      <c r="A41" s="345">
        <v>5</v>
      </c>
      <c r="B41" s="335" t="s">
        <v>835</v>
      </c>
      <c r="C41" s="360"/>
      <c r="D41" s="361"/>
      <c r="E41" s="361"/>
      <c r="F41" s="361"/>
      <c r="G41" s="362"/>
      <c r="H41" s="324">
        <f>(H26-H37+H39)</f>
        <v>523871</v>
      </c>
      <c r="I41" s="324">
        <f>(I26-I37+I39)</f>
        <v>242525</v>
      </c>
      <c r="J41" s="324">
        <f>(J26-J37+J39)</f>
        <v>242525</v>
      </c>
      <c r="K41" s="7">
        <f>H41-I41</f>
        <v>281346</v>
      </c>
      <c r="L41" s="7">
        <f>IF(AND(OR(H41=0,I41&lt;&gt;0),OR(I41=0,H41&lt;&gt;0)),IF((H41+I41+K41&lt;&gt;0),IF(AND(OR(H41&gt;0,I41&lt;0),OR(I41&gt;0,H41&lt;0)),ABS(K41/MIN(ABS(I41),ABS(H41))),10),"-"),10)</f>
        <v>1.1600700958664054</v>
      </c>
      <c r="M41" s="7"/>
      <c r="N41" s="19"/>
      <c r="O41" s="19"/>
      <c r="P41" s="19"/>
      <c r="Q41" s="19"/>
      <c r="R41" s="19"/>
      <c r="S41" s="19"/>
      <c r="T41" s="19"/>
    </row>
    <row r="42" spans="1:22" customFormat="1" ht="12.75" customHeight="1" x14ac:dyDescent="0.25">
      <c r="A42" s="345"/>
      <c r="B42" s="348"/>
      <c r="C42" s="330"/>
      <c r="D42" s="326"/>
      <c r="E42" s="326"/>
      <c r="F42" s="326"/>
      <c r="G42" s="327"/>
      <c r="H42" s="328"/>
      <c r="I42" s="328"/>
      <c r="J42" s="328"/>
      <c r="K42" s="7"/>
      <c r="L42" s="7"/>
      <c r="M42" s="7"/>
    </row>
    <row r="43" spans="1:22" customFormat="1" ht="12.75" customHeight="1" x14ac:dyDescent="0.25">
      <c r="A43" s="345">
        <v>6</v>
      </c>
      <c r="B43" s="335" t="s">
        <v>836</v>
      </c>
      <c r="C43" s="360"/>
      <c r="D43" s="360"/>
      <c r="E43" s="360"/>
      <c r="F43" s="360"/>
      <c r="G43" s="397"/>
      <c r="H43" s="324">
        <f>H16+H41</f>
        <v>3154041</v>
      </c>
      <c r="I43" s="324">
        <f>I16+I41</f>
        <v>3092589</v>
      </c>
      <c r="J43" s="324">
        <f>J16+J41</f>
        <v>3092589</v>
      </c>
      <c r="K43" s="7">
        <f>H43-I43</f>
        <v>61452</v>
      </c>
      <c r="L43" s="7">
        <f>IF(AND(OR(H43=0,I43&lt;&gt;0),OR(I43=0,H43&lt;&gt;0)),IF((H43+I43+K43&lt;&gt;0),IF(AND(OR(H43&gt;0,I43&lt;0),OR(I43&gt;0,H43&lt;0)),ABS(K43/MIN(ABS(I43),ABS(H43))),10),"-"),10)</f>
        <v>1.9870729670188957E-2</v>
      </c>
      <c r="M43" s="7"/>
      <c r="N43" s="19"/>
      <c r="O43" s="19"/>
      <c r="P43" s="19"/>
      <c r="Q43" s="19"/>
      <c r="R43" s="19"/>
      <c r="S43" s="19"/>
      <c r="T43" s="19"/>
    </row>
    <row r="44" spans="1:22" customFormat="1" ht="12.75" customHeight="1" x14ac:dyDescent="0.25">
      <c r="A44" s="345"/>
      <c r="B44" s="348"/>
      <c r="C44" s="330"/>
      <c r="D44" s="326"/>
      <c r="E44" s="326"/>
      <c r="F44" s="326"/>
      <c r="G44" s="327"/>
      <c r="H44" s="328"/>
      <c r="I44" s="328"/>
      <c r="J44" s="328"/>
      <c r="K44" s="7"/>
      <c r="L44" s="7"/>
      <c r="M44" s="7"/>
    </row>
    <row r="45" spans="1:22" customFormat="1" ht="12.75" customHeight="1" thickBot="1" x14ac:dyDescent="0.3">
      <c r="A45" s="345">
        <v>7</v>
      </c>
      <c r="B45" s="357" t="s">
        <v>837</v>
      </c>
      <c r="C45" s="398"/>
      <c r="D45" s="399"/>
      <c r="E45" s="399"/>
      <c r="F45" s="399"/>
      <c r="G45" s="400"/>
      <c r="H45" s="329"/>
      <c r="I45" s="329"/>
      <c r="J45" s="329"/>
      <c r="K45" s="7"/>
      <c r="L45" s="7"/>
      <c r="M45" s="7"/>
    </row>
    <row r="46" spans="1:22" customFormat="1" ht="12.75" customHeight="1" thickBot="1" x14ac:dyDescent="0.3">
      <c r="A46" s="345" t="s">
        <v>838</v>
      </c>
      <c r="B46" s="331"/>
      <c r="C46" s="394" t="s">
        <v>819</v>
      </c>
      <c r="D46" s="333"/>
      <c r="E46" s="333"/>
      <c r="F46" s="333"/>
      <c r="G46" s="334"/>
      <c r="H46" s="21">
        <v>586776</v>
      </c>
      <c r="I46" s="21">
        <v>591474</v>
      </c>
      <c r="J46" s="167">
        <v>591474</v>
      </c>
      <c r="K46" s="163">
        <f t="shared" ref="K46:K51" si="6">H46-I46</f>
        <v>-4698</v>
      </c>
      <c r="L46" s="164">
        <f t="shared" ref="L46:L51" si="7">IF(AND(OR(H46=0,I46&lt;&gt;0),OR(I46=0,H46&lt;&gt;0)),IF((H46+I46+K46&lt;&gt;0),IF(AND(OR(H46&gt;0,I46&lt;0),OR(I46&gt;0,H46&lt;0)),ABS(K46/MIN(ABS(I46),ABS(H46))),10),"-"),10)</f>
        <v>8.0064624320013086E-3</v>
      </c>
      <c r="M46" s="7"/>
      <c r="N46" s="61"/>
      <c r="O46" s="388"/>
      <c r="P46" s="5">
        <f>IF(AND(K46&gt;750,L46&gt;2),1,0)</f>
        <v>0</v>
      </c>
      <c r="Q46" s="5">
        <f>IF(AND(K46&lt;-750,L46&gt;2),1,0)</f>
        <v>0</v>
      </c>
      <c r="R46" s="5">
        <f>SUM(P46:Q46)</f>
        <v>0</v>
      </c>
      <c r="S46" s="156" t="str">
        <f>IF(R46&lt;&gt;0,A46&amp;" ("&amp;H46&amp;", "&amp;I46&amp;")"&amp;", ","")</f>
        <v/>
      </c>
      <c r="U46" s="156" t="str">
        <f>IF(I46&lt;&gt;J46,A46&amp;" ("&amp;I46&amp;", "&amp;J46&amp;")"&amp;", ","")</f>
        <v/>
      </c>
    </row>
    <row r="47" spans="1:22" customFormat="1" ht="12.75" customHeight="1" thickBot="1" x14ac:dyDescent="0.3">
      <c r="A47" s="345" t="s">
        <v>839</v>
      </c>
      <c r="B47" s="331"/>
      <c r="C47" s="394" t="s">
        <v>821</v>
      </c>
      <c r="D47" s="333"/>
      <c r="E47" s="333"/>
      <c r="F47" s="333"/>
      <c r="G47" s="334"/>
      <c r="H47" s="21">
        <v>331</v>
      </c>
      <c r="I47" s="21">
        <v>774</v>
      </c>
      <c r="J47" s="167">
        <v>774</v>
      </c>
      <c r="K47" s="163">
        <f t="shared" si="6"/>
        <v>-443</v>
      </c>
      <c r="L47" s="164">
        <f t="shared" si="7"/>
        <v>1.338368580060423</v>
      </c>
      <c r="M47" s="7"/>
      <c r="N47" s="61"/>
      <c r="O47" s="388"/>
      <c r="P47" s="5">
        <f>IF(AND(K47&gt;750,L47&gt;2),1,0)</f>
        <v>0</v>
      </c>
      <c r="Q47" s="5">
        <f>IF(AND(K47&lt;-750,L47&gt;2),1,0)</f>
        <v>0</v>
      </c>
      <c r="R47" s="5">
        <f>SUM(P47:Q47)</f>
        <v>0</v>
      </c>
      <c r="S47" s="156" t="str">
        <f>IF(R47&lt;&gt;0,A47&amp;" ("&amp;H47&amp;", "&amp;I47&amp;")"&amp;", ","")</f>
        <v/>
      </c>
      <c r="U47" s="156" t="str">
        <f>IF(I47&lt;&gt;J47,A47&amp;" ("&amp;I47&amp;", "&amp;J47&amp;")"&amp;", ","")</f>
        <v/>
      </c>
    </row>
    <row r="48" spans="1:22" customFormat="1" ht="12.75" customHeight="1" thickBot="1" x14ac:dyDescent="0.3">
      <c r="A48" s="345" t="s">
        <v>840</v>
      </c>
      <c r="B48" s="331"/>
      <c r="C48" s="394" t="s">
        <v>827</v>
      </c>
      <c r="D48" s="333"/>
      <c r="E48" s="333"/>
      <c r="F48" s="333"/>
      <c r="G48" s="334"/>
      <c r="H48" s="21">
        <v>11011</v>
      </c>
      <c r="I48" s="21">
        <v>12666</v>
      </c>
      <c r="J48" s="167">
        <v>12666</v>
      </c>
      <c r="K48" s="163">
        <f t="shared" si="6"/>
        <v>-1655</v>
      </c>
      <c r="L48" s="164">
        <f t="shared" si="7"/>
        <v>0.15030424121333213</v>
      </c>
      <c r="M48" s="7"/>
      <c r="N48" s="61"/>
      <c r="O48" s="388"/>
      <c r="P48" s="5">
        <f>IF(AND(K48&gt;750,L48&gt;2),1,0)</f>
        <v>0</v>
      </c>
      <c r="Q48" s="5">
        <f>IF(AND(K48&lt;-750,L48&gt;2),1,0)</f>
        <v>0</v>
      </c>
      <c r="R48" s="5">
        <f>SUM(P48:Q48)</f>
        <v>0</v>
      </c>
      <c r="S48" s="156" t="str">
        <f>IF(R48&lt;&gt;0,A48&amp;" ("&amp;H48&amp;", "&amp;I48&amp;")"&amp;", ","")</f>
        <v/>
      </c>
      <c r="U48" s="156" t="str">
        <f>IF(I48&lt;&gt;J48,A48&amp;" ("&amp;I48&amp;", "&amp;J48&amp;")"&amp;", ","")</f>
        <v/>
      </c>
      <c r="V48" s="4"/>
    </row>
    <row r="49" spans="1:22" customFormat="1" ht="12.75" customHeight="1" thickBot="1" x14ac:dyDescent="0.3">
      <c r="A49" s="345" t="s">
        <v>841</v>
      </c>
      <c r="B49" s="331"/>
      <c r="C49" s="394" t="s">
        <v>829</v>
      </c>
      <c r="D49" s="394"/>
      <c r="E49" s="333"/>
      <c r="F49" s="333"/>
      <c r="G49" s="334"/>
      <c r="H49" s="21">
        <v>0</v>
      </c>
      <c r="I49" s="21">
        <v>0</v>
      </c>
      <c r="J49" s="112">
        <v>0</v>
      </c>
      <c r="K49" s="7">
        <f t="shared" si="6"/>
        <v>0</v>
      </c>
      <c r="L49" s="7" t="str">
        <f t="shared" si="7"/>
        <v>-</v>
      </c>
      <c r="M49" s="7"/>
      <c r="V49" s="157"/>
    </row>
    <row r="50" spans="1:22" customFormat="1" ht="12.75" customHeight="1" thickBot="1" x14ac:dyDescent="0.3">
      <c r="A50" s="345" t="s">
        <v>842</v>
      </c>
      <c r="B50" s="331"/>
      <c r="C50" s="394" t="s">
        <v>831</v>
      </c>
      <c r="D50" s="333"/>
      <c r="E50" s="333"/>
      <c r="F50" s="333"/>
      <c r="G50" s="334"/>
      <c r="H50" s="21">
        <v>100</v>
      </c>
      <c r="I50" s="21">
        <v>100</v>
      </c>
      <c r="J50" s="167">
        <v>100</v>
      </c>
      <c r="K50" s="163">
        <f t="shared" si="6"/>
        <v>0</v>
      </c>
      <c r="L50" s="164">
        <f t="shared" si="7"/>
        <v>0</v>
      </c>
      <c r="M50" s="7"/>
      <c r="N50" s="61"/>
      <c r="O50" s="388"/>
      <c r="P50" s="5">
        <f>IF(AND(K50&gt;750,L50&gt;2),1,0)</f>
        <v>0</v>
      </c>
      <c r="Q50" s="5">
        <f>IF(AND(K50&lt;-750,L50&gt;2),1,0)</f>
        <v>0</v>
      </c>
      <c r="R50" s="5">
        <f>SUM(P50:Q50)</f>
        <v>0</v>
      </c>
      <c r="S50" s="156" t="str">
        <f>IF(R50&lt;&gt;0,A50&amp;" ("&amp;H50&amp;", "&amp;I50&amp;")"&amp;", ","")</f>
        <v/>
      </c>
      <c r="U50" s="156" t="str">
        <f>IF(I50&lt;&gt;J50,A50&amp;" ("&amp;I50&amp;", "&amp;J50&amp;")"&amp;", ","")</f>
        <v/>
      </c>
      <c r="V50" s="4"/>
    </row>
    <row r="51" spans="1:22" customFormat="1" ht="12.75" customHeight="1" x14ac:dyDescent="0.25">
      <c r="A51" s="345" t="s">
        <v>843</v>
      </c>
      <c r="B51" s="405" t="s">
        <v>844</v>
      </c>
      <c r="C51" s="390"/>
      <c r="D51" s="406"/>
      <c r="E51" s="406"/>
      <c r="F51" s="406"/>
      <c r="G51" s="407"/>
      <c r="H51" s="349">
        <f>SUM(H46:H50)</f>
        <v>598218</v>
      </c>
      <c r="I51" s="349">
        <f>SUM(I46:I50)</f>
        <v>605014</v>
      </c>
      <c r="J51" s="350">
        <f>SUM(J46:J50)</f>
        <v>605014</v>
      </c>
      <c r="K51" s="7">
        <f t="shared" si="6"/>
        <v>-6796</v>
      </c>
      <c r="L51" s="7">
        <f t="shared" si="7"/>
        <v>1.136040707568144E-2</v>
      </c>
      <c r="M51" s="7"/>
      <c r="N51" s="19"/>
      <c r="O51" s="19"/>
      <c r="P51" s="19"/>
      <c r="Q51" s="19"/>
      <c r="R51" s="19"/>
      <c r="S51" s="19"/>
      <c r="T51" s="19"/>
      <c r="V51" s="4"/>
    </row>
    <row r="52" spans="1:22" customFormat="1" ht="12.75" customHeight="1" x14ac:dyDescent="0.25">
      <c r="A52" s="345"/>
      <c r="B52" s="348"/>
      <c r="C52" s="330"/>
      <c r="D52" s="326"/>
      <c r="E52" s="326"/>
      <c r="F52" s="326"/>
      <c r="G52" s="327"/>
      <c r="H52" s="328"/>
      <c r="I52" s="328"/>
      <c r="J52" s="328"/>
      <c r="K52" s="7"/>
      <c r="L52" s="7"/>
      <c r="M52" s="7"/>
      <c r="V52" s="4"/>
    </row>
    <row r="53" spans="1:22" customFormat="1" ht="12.75" customHeight="1" thickBot="1" x14ac:dyDescent="0.3">
      <c r="A53" s="345">
        <v>8</v>
      </c>
      <c r="B53" s="357" t="s">
        <v>845</v>
      </c>
      <c r="C53" s="358"/>
      <c r="D53" s="309"/>
      <c r="E53" s="309"/>
      <c r="F53" s="309"/>
      <c r="G53" s="310"/>
      <c r="H53" s="329"/>
      <c r="I53" s="329"/>
      <c r="J53" s="329"/>
      <c r="K53" s="7"/>
      <c r="L53" s="7"/>
      <c r="M53" s="7"/>
      <c r="V53" s="4"/>
    </row>
    <row r="54" spans="1:22" customFormat="1" ht="12.75" customHeight="1" thickBot="1" x14ac:dyDescent="0.3">
      <c r="A54" s="345" t="s">
        <v>846</v>
      </c>
      <c r="B54" s="11"/>
      <c r="C54" s="394" t="s">
        <v>847</v>
      </c>
      <c r="D54" s="333"/>
      <c r="E54" s="333"/>
      <c r="F54" s="33"/>
      <c r="G54" s="386"/>
      <c r="H54" s="320">
        <v>350375</v>
      </c>
      <c r="I54" s="320">
        <v>432317</v>
      </c>
      <c r="J54" s="318">
        <v>432917</v>
      </c>
      <c r="K54" s="163">
        <f>H54-I54</f>
        <v>-81942</v>
      </c>
      <c r="L54" s="164">
        <f>IF(AND(OR(H54=0,I54&lt;&gt;0),OR(I54=0,H54&lt;&gt;0)),IF((H54+I54+K54&lt;&gt;0),IF(AND(OR(H54&gt;0,I54&lt;0),OR(I54&gt;0,H54&lt;0)),ABS(K54/MIN(ABS(I54),ABS(H54))),10),"-"),10)</f>
        <v>0.23386942561541205</v>
      </c>
      <c r="M54" s="7"/>
      <c r="N54" s="61"/>
      <c r="O54" s="388"/>
      <c r="P54" s="5">
        <f>IF(AND(K54&gt;750,L54&gt;2),1,0)</f>
        <v>0</v>
      </c>
      <c r="Q54" s="5">
        <f>IF(AND(K54&lt;-750,L54&gt;2),1,0)</f>
        <v>0</v>
      </c>
      <c r="R54" s="5">
        <f>SUM(P54:Q54)</f>
        <v>0</v>
      </c>
      <c r="S54" s="156" t="str">
        <f>IF(R54&lt;&gt;0,A54&amp;" ("&amp;H54&amp;", "&amp;I54&amp;")"&amp;", ","")</f>
        <v/>
      </c>
      <c r="U54" s="156" t="str">
        <f>IF(I54&lt;&gt;J54,A54&amp;" ("&amp;I54&amp;", "&amp;J54&amp;")"&amp;", ","")</f>
        <v xml:space="preserve">8a (432317, 432917), </v>
      </c>
      <c r="V54" s="4"/>
    </row>
    <row r="55" spans="1:22" customFormat="1" ht="12.75" customHeight="1" thickBot="1" x14ac:dyDescent="0.3">
      <c r="A55" s="345" t="s">
        <v>848</v>
      </c>
      <c r="B55" s="331"/>
      <c r="C55" s="394" t="s">
        <v>849</v>
      </c>
      <c r="D55" s="315"/>
      <c r="E55" s="315"/>
      <c r="F55" s="315"/>
      <c r="G55" s="316"/>
      <c r="H55" s="320">
        <v>1080</v>
      </c>
      <c r="I55" s="320">
        <v>600</v>
      </c>
      <c r="J55" s="318">
        <v>0</v>
      </c>
      <c r="K55" s="163">
        <f>H55-I55</f>
        <v>480</v>
      </c>
      <c r="L55" s="164">
        <f>IF(AND(OR(H55=0,I55&lt;&gt;0),OR(I55=0,H55&lt;&gt;0)),IF((H55+I55+K55&lt;&gt;0),IF(AND(OR(H55&gt;0,I55&lt;0),OR(I55&gt;0,H55&lt;0)),ABS(K55/MIN(ABS(I55),ABS(H55))),10),"-"),10)</f>
        <v>0.8</v>
      </c>
      <c r="M55" s="7"/>
      <c r="N55" s="61"/>
      <c r="O55" s="388"/>
      <c r="P55" s="5">
        <f>IF(AND(K55&gt;750,L55&gt;2),1,0)</f>
        <v>0</v>
      </c>
      <c r="Q55" s="5">
        <f>IF(AND(K55&lt;-750,L55&gt;2),1,0)</f>
        <v>0</v>
      </c>
      <c r="R55" s="5">
        <f>SUM(P55:Q55)</f>
        <v>0</v>
      </c>
      <c r="S55" s="156" t="str">
        <f>IF(R55&lt;&gt;0,A55&amp;" ("&amp;H55&amp;", "&amp;I55&amp;")"&amp;", ","")</f>
        <v/>
      </c>
      <c r="U55" s="156" t="str">
        <f>IF(I55&lt;&gt;J55,A55&amp;" ("&amp;I55&amp;", "&amp;J55&amp;")"&amp;", ","")</f>
        <v xml:space="preserve">8b (600, 0), </v>
      </c>
      <c r="V55" s="4"/>
    </row>
    <row r="56" spans="1:22" customFormat="1" ht="12.75" customHeight="1" x14ac:dyDescent="0.25">
      <c r="A56" s="345" t="s">
        <v>850</v>
      </c>
      <c r="B56" s="335" t="s">
        <v>851</v>
      </c>
      <c r="C56" s="360"/>
      <c r="D56" s="361"/>
      <c r="E56" s="361"/>
      <c r="F56" s="361"/>
      <c r="G56" s="362"/>
      <c r="H56" s="324">
        <f>SUM(H54:H55)</f>
        <v>351455</v>
      </c>
      <c r="I56" s="324">
        <f>SUM(I54:I55)</f>
        <v>432917</v>
      </c>
      <c r="J56" s="324">
        <f>SUM(J54:J55)</f>
        <v>432917</v>
      </c>
      <c r="K56" s="7">
        <f>H56-I56</f>
        <v>-81462</v>
      </c>
      <c r="L56" s="7">
        <f>IF(AND(OR(H56=0,I56&lt;&gt;0),OR(I56=0,H56&lt;&gt;0)),IF((H56+I56+K56&lt;&gt;0),IF(AND(OR(H56&gt;0,I56&lt;0),OR(I56&gt;0,H56&lt;0)),ABS(K56/MIN(ABS(I56),ABS(H56))),10),"-"),10)</f>
        <v>0.23178500803801341</v>
      </c>
      <c r="M56" s="7"/>
      <c r="N56" s="19"/>
      <c r="O56" s="19"/>
      <c r="P56" s="19"/>
      <c r="Q56" s="19"/>
      <c r="R56" s="19"/>
      <c r="S56" s="19"/>
      <c r="T56" s="19"/>
      <c r="V56" s="4"/>
    </row>
    <row r="57" spans="1:22" customFormat="1" ht="12.75" customHeight="1" x14ac:dyDescent="0.25">
      <c r="A57" s="345"/>
      <c r="B57" s="348"/>
      <c r="C57" s="330"/>
      <c r="D57" s="326"/>
      <c r="E57" s="326"/>
      <c r="F57" s="326"/>
      <c r="G57" s="327"/>
      <c r="H57" s="328"/>
      <c r="I57" s="328"/>
      <c r="J57" s="328"/>
      <c r="K57" s="7"/>
      <c r="L57" s="7"/>
      <c r="M57" s="7"/>
      <c r="V57" s="4"/>
    </row>
    <row r="58" spans="1:22" customFormat="1" ht="12.75" customHeight="1" x14ac:dyDescent="0.25">
      <c r="A58" s="345">
        <v>9</v>
      </c>
      <c r="B58" s="335" t="s">
        <v>852</v>
      </c>
      <c r="C58" s="360"/>
      <c r="D58" s="361"/>
      <c r="E58" s="361"/>
      <c r="F58" s="361"/>
      <c r="G58" s="362"/>
      <c r="H58" s="324">
        <f>(H43-H51-H56)</f>
        <v>2204368</v>
      </c>
      <c r="I58" s="324">
        <f>(I43-I51-I56)</f>
        <v>2054658</v>
      </c>
      <c r="J58" s="324">
        <f>(J43-J51-J56)</f>
        <v>2054658</v>
      </c>
      <c r="K58" s="7">
        <f>H58-I58</f>
        <v>149710</v>
      </c>
      <c r="L58" s="7">
        <f>IF(AND(OR(H58=0,I58&lt;&gt;0),OR(I58=0,H58&lt;&gt;0)),IF((H58+I58+K58&lt;&gt;0),IF(AND(OR(H58&gt;0,I58&lt;0),OR(I58&gt;0,H58&lt;0)),ABS(K58/MIN(ABS(I58),ABS(H58))),10),"-"),10)</f>
        <v>7.2863707731408336E-2</v>
      </c>
      <c r="M58" s="7"/>
      <c r="N58" s="19"/>
      <c r="O58" s="19"/>
      <c r="P58" s="19"/>
      <c r="Q58" s="19"/>
      <c r="R58" s="19"/>
      <c r="S58" s="19"/>
      <c r="T58" s="19"/>
      <c r="V58" s="4"/>
    </row>
    <row r="59" spans="1:22" customFormat="1" ht="12.75" customHeight="1" x14ac:dyDescent="0.25">
      <c r="A59" s="345"/>
      <c r="B59" s="348"/>
      <c r="C59" s="330"/>
      <c r="D59" s="326"/>
      <c r="E59" s="326"/>
      <c r="F59" s="326"/>
      <c r="G59" s="327"/>
      <c r="H59" s="328"/>
      <c r="I59" s="328"/>
      <c r="J59" s="328"/>
      <c r="K59" s="7"/>
      <c r="L59" s="7"/>
      <c r="M59" s="7"/>
      <c r="V59" s="4"/>
    </row>
    <row r="60" spans="1:22" customFormat="1" ht="12.75" customHeight="1" thickBot="1" x14ac:dyDescent="0.3">
      <c r="A60" s="345">
        <v>10</v>
      </c>
      <c r="B60" s="357" t="s">
        <v>853</v>
      </c>
      <c r="C60" s="358"/>
      <c r="D60" s="309"/>
      <c r="E60" s="309"/>
      <c r="F60" s="309"/>
      <c r="G60" s="310"/>
      <c r="H60" s="329"/>
      <c r="I60" s="329"/>
      <c r="J60" s="329"/>
      <c r="K60" s="7"/>
      <c r="L60" s="7"/>
      <c r="M60" s="7"/>
    </row>
    <row r="61" spans="1:22" customFormat="1" ht="12.75" customHeight="1" thickBot="1" x14ac:dyDescent="0.3">
      <c r="A61" s="345" t="s">
        <v>854</v>
      </c>
      <c r="B61" s="331"/>
      <c r="C61" s="394" t="s">
        <v>855</v>
      </c>
      <c r="D61" s="315"/>
      <c r="E61" s="315"/>
      <c r="F61" s="315"/>
      <c r="G61" s="316"/>
      <c r="H61" s="320">
        <v>487781</v>
      </c>
      <c r="I61" s="320">
        <v>459869</v>
      </c>
      <c r="J61" s="318">
        <v>459869</v>
      </c>
      <c r="K61" s="163">
        <f>H61-I61</f>
        <v>27912</v>
      </c>
      <c r="L61" s="164">
        <f>IF(AND(OR(H61=0,I61&lt;&gt;0),OR(I61=0,H61&lt;&gt;0)),IF((H61+I61+K61&lt;&gt;0),IF(AND(OR(H61&gt;0,I61&lt;0),OR(I61&gt;0,H61&lt;0)),ABS(K61/MIN(ABS(I61),ABS(H61))),10),"-"),10)</f>
        <v>6.0695545905464381E-2</v>
      </c>
      <c r="M61" s="7"/>
      <c r="N61" s="61"/>
      <c r="O61" s="388"/>
      <c r="P61" s="5">
        <f>IF(AND(K61&gt;750,L61&gt;2),1,0)</f>
        <v>0</v>
      </c>
      <c r="Q61" s="5">
        <f>IF(AND(K61&lt;-750,L61&gt;2),1,0)</f>
        <v>0</v>
      </c>
      <c r="R61" s="5">
        <f>SUM(P61:Q61)</f>
        <v>0</v>
      </c>
      <c r="S61" s="156" t="str">
        <f>IF(R61&lt;&gt;0,A61&amp;" ("&amp;H61&amp;", "&amp;I61&amp;")"&amp;", ","")</f>
        <v/>
      </c>
      <c r="U61" s="156" t="str">
        <f>IF(I61&lt;&gt;J61,A61&amp;" ("&amp;I61&amp;", "&amp;J61&amp;")"&amp;", ","")</f>
        <v/>
      </c>
    </row>
    <row r="62" spans="1:22" customFormat="1" ht="12.75" customHeight="1" thickBot="1" x14ac:dyDescent="0.3">
      <c r="A62" s="345" t="s">
        <v>856</v>
      </c>
      <c r="B62" s="331"/>
      <c r="C62" s="394" t="s">
        <v>857</v>
      </c>
      <c r="D62" s="315"/>
      <c r="E62" s="315"/>
      <c r="F62" s="315"/>
      <c r="G62" s="316"/>
      <c r="H62" s="320">
        <v>54855</v>
      </c>
      <c r="I62" s="320">
        <v>45470</v>
      </c>
      <c r="J62" s="318">
        <v>45470</v>
      </c>
      <c r="K62" s="163">
        <f>H62-I62</f>
        <v>9385</v>
      </c>
      <c r="L62" s="164">
        <f>IF(AND(OR(H62=0,I62&lt;&gt;0),OR(I62=0,H62&lt;&gt;0)),IF((H62+I62+K62&lt;&gt;0),IF(AND(OR(H62&gt;0,I62&lt;0),OR(I62&gt;0,H62&lt;0)),ABS(K62/MIN(ABS(I62),ABS(H62))),10),"-"),10)</f>
        <v>0.20639982405981966</v>
      </c>
      <c r="M62" s="7"/>
      <c r="N62" s="61"/>
      <c r="O62" s="388"/>
      <c r="P62" s="5">
        <f>IF(AND(K62&gt;750,L62&gt;2),1,0)</f>
        <v>0</v>
      </c>
      <c r="Q62" s="5">
        <f>IF(AND(K62&lt;-750,L62&gt;2),1,0)</f>
        <v>0</v>
      </c>
      <c r="R62" s="5">
        <f>SUM(P62:Q62)</f>
        <v>0</v>
      </c>
      <c r="S62" s="156" t="str">
        <f>IF(R62&lt;&gt;0,A62&amp;" ("&amp;H62&amp;", "&amp;I62&amp;")"&amp;", ","")</f>
        <v/>
      </c>
      <c r="U62" s="156" t="str">
        <f>IF(I62&lt;&gt;J62,A62&amp;" ("&amp;I62&amp;", "&amp;J62&amp;")"&amp;", ","")</f>
        <v/>
      </c>
    </row>
    <row r="63" spans="1:22" customFormat="1" ht="12.75" customHeight="1" thickBot="1" x14ac:dyDescent="0.3">
      <c r="A63" s="345">
        <v>11</v>
      </c>
      <c r="B63" s="357" t="s">
        <v>858</v>
      </c>
      <c r="C63" s="358"/>
      <c r="D63" s="309"/>
      <c r="E63" s="309"/>
      <c r="F63" s="309"/>
      <c r="G63" s="310"/>
      <c r="H63" s="329"/>
      <c r="I63" s="329"/>
      <c r="J63" s="329"/>
      <c r="K63" s="7"/>
      <c r="L63" s="7"/>
      <c r="M63" s="7"/>
    </row>
    <row r="64" spans="1:22" customFormat="1" ht="12.75" customHeight="1" thickBot="1" x14ac:dyDescent="0.3">
      <c r="A64" s="345" t="s">
        <v>859</v>
      </c>
      <c r="B64" s="331"/>
      <c r="C64" s="394" t="s">
        <v>860</v>
      </c>
      <c r="D64" s="315"/>
      <c r="E64" s="315"/>
      <c r="F64" s="315"/>
      <c r="G64" s="316"/>
      <c r="H64" s="320">
        <v>1453517</v>
      </c>
      <c r="I64" s="320">
        <v>1340734</v>
      </c>
      <c r="J64" s="318">
        <v>1340734</v>
      </c>
      <c r="K64" s="163">
        <f>H64-I64</f>
        <v>112783</v>
      </c>
      <c r="L64" s="164">
        <f>IF(AND(OR(H64=0,I64&lt;&gt;0),OR(I64=0,H64&lt;&gt;0)),IF((H64+I64+K64&lt;&gt;0),IF(AND(OR(H64&gt;0,I64&lt;0),OR(I64&gt;0,H64&lt;0)),ABS(K64/MIN(ABS(I64),ABS(H64))),10),"-"),10)</f>
        <v>8.4120340052538392E-2</v>
      </c>
      <c r="M64" s="7"/>
      <c r="N64" s="61"/>
      <c r="O64" s="388"/>
      <c r="P64" s="5">
        <f>IF(AND(K64&gt;750,L64&gt;2),1,0)</f>
        <v>0</v>
      </c>
      <c r="Q64" s="5">
        <f>IF(AND(K64&lt;-750,L64&gt;2),1,0)</f>
        <v>0</v>
      </c>
      <c r="R64" s="5">
        <f>SUM(P64:Q64)</f>
        <v>0</v>
      </c>
      <c r="S64" s="156" t="str">
        <f>IF(R64&lt;&gt;0,A64&amp;" ("&amp;H64&amp;", "&amp;I64&amp;")"&amp;", ","")</f>
        <v/>
      </c>
      <c r="U64" s="156" t="str">
        <f>IF(I64&lt;&gt;J64,A64&amp;" ("&amp;I64&amp;", "&amp;J64&amp;")"&amp;", ","")</f>
        <v/>
      </c>
    </row>
    <row r="65" spans="1:22" customFormat="1" ht="12.75" customHeight="1" thickBot="1" x14ac:dyDescent="0.3">
      <c r="A65" s="345" t="s">
        <v>861</v>
      </c>
      <c r="B65" s="331"/>
      <c r="C65" s="394" t="s">
        <v>862</v>
      </c>
      <c r="D65" s="315"/>
      <c r="E65" s="315"/>
      <c r="F65" s="315"/>
      <c r="G65" s="316"/>
      <c r="H65" s="320">
        <v>208215</v>
      </c>
      <c r="I65" s="320">
        <v>208585</v>
      </c>
      <c r="J65" s="318">
        <v>208585</v>
      </c>
      <c r="K65" s="163">
        <f>H65-I65</f>
        <v>-370</v>
      </c>
      <c r="L65" s="164">
        <f>IF(AND(OR(H65=0,I65&lt;&gt;0),OR(I65=0,H65&lt;&gt;0)),IF((H65+I65+K65&lt;&gt;0),IF(AND(OR(H65&gt;0,I65&lt;0),OR(I65&gt;0,H65&lt;0)),ABS(K65/MIN(ABS(I65),ABS(H65))),10),"-"),10)</f>
        <v>1.7770093413058618E-3</v>
      </c>
      <c r="M65" s="7"/>
      <c r="N65" s="61"/>
      <c r="O65" s="388"/>
      <c r="P65" s="5">
        <f>IF(AND(K65&gt;750,L65&gt;2),1,0)</f>
        <v>0</v>
      </c>
      <c r="Q65" s="5">
        <f>IF(AND(K65&lt;-750,L65&gt;2),1,0)</f>
        <v>0</v>
      </c>
      <c r="R65" s="5">
        <f>SUM(P65:Q65)</f>
        <v>0</v>
      </c>
      <c r="S65" s="156" t="str">
        <f>IF(R65&lt;&gt;0,A65&amp;" ("&amp;H65&amp;", "&amp;I65&amp;")"&amp;", ","")</f>
        <v/>
      </c>
      <c r="U65" s="156" t="str">
        <f>IF(I65&lt;&gt;J65,A65&amp;" ("&amp;I65&amp;", "&amp;J65&amp;")"&amp;", ","")</f>
        <v/>
      </c>
    </row>
    <row r="66" spans="1:22" customFormat="1" ht="12.75" customHeight="1" x14ac:dyDescent="0.25">
      <c r="A66" s="345">
        <v>12</v>
      </c>
      <c r="B66" s="335" t="s">
        <v>863</v>
      </c>
      <c r="C66" s="360"/>
      <c r="D66" s="361"/>
      <c r="E66" s="361"/>
      <c r="F66" s="361"/>
      <c r="G66" s="362"/>
      <c r="H66" s="349">
        <f>SUM(H61:H65)</f>
        <v>2204368</v>
      </c>
      <c r="I66" s="349">
        <f>SUM(I61:I65)</f>
        <v>2054658</v>
      </c>
      <c r="J66" s="350">
        <f>SUM(J61:J65)</f>
        <v>2054658</v>
      </c>
      <c r="K66" s="7">
        <f>H66-I66</f>
        <v>149710</v>
      </c>
      <c r="L66" s="7">
        <f>IF(AND(OR(H66=0,I66&lt;&gt;0),OR(I66=0,H66&lt;&gt;0)),IF((H66+I66+K66&lt;&gt;0),IF(AND(OR(H66&gt;0,I66&lt;0),OR(I66&gt;0,H66&lt;0)),ABS(K66/MIN(ABS(I66),ABS(H66))),10),"-"),10)</f>
        <v>7.2863707731408336E-2</v>
      </c>
      <c r="M66" s="7"/>
      <c r="N66" s="19"/>
      <c r="O66" s="19"/>
      <c r="P66" s="19"/>
      <c r="Q66" s="19"/>
      <c r="R66" s="19"/>
      <c r="S66" s="19"/>
      <c r="T66" s="19"/>
    </row>
    <row r="67" spans="1:22" customFormat="1" ht="12.75" customHeight="1" thickBot="1" x14ac:dyDescent="0.3">
      <c r="A67" s="345"/>
      <c r="B67" s="12"/>
      <c r="C67" s="333"/>
      <c r="D67" s="333"/>
      <c r="E67" s="333"/>
      <c r="F67" s="34"/>
      <c r="G67" s="386"/>
      <c r="H67" s="2"/>
      <c r="I67" s="2"/>
      <c r="J67" s="2"/>
      <c r="K67" s="7"/>
      <c r="L67" s="7"/>
      <c r="M67" s="7"/>
    </row>
    <row r="68" spans="1:22" customFormat="1" ht="12.75" customHeight="1" thickBot="1" x14ac:dyDescent="0.3">
      <c r="A68" s="345">
        <v>13</v>
      </c>
      <c r="B68" s="348" t="s">
        <v>782</v>
      </c>
      <c r="C68" s="330"/>
      <c r="D68" s="326"/>
      <c r="E68" s="326"/>
      <c r="F68" s="326"/>
      <c r="G68" s="327"/>
      <c r="H68" s="320">
        <v>0</v>
      </c>
      <c r="I68" s="320">
        <v>0</v>
      </c>
      <c r="J68" s="318">
        <v>0</v>
      </c>
      <c r="K68" s="163">
        <f>H68-I68</f>
        <v>0</v>
      </c>
      <c r="L68" s="164" t="str">
        <f>IF(AND(OR(H68=0,I68&lt;&gt;0),OR(I68=0,H68&lt;&gt;0)),IF((H68+I68+K68&lt;&gt;0),IF(AND(OR(H68&gt;0,I68&lt;0),OR(I68&gt;0,H68&lt;0)),ABS(K68/MIN(ABS(I68),ABS(H68))),10),"-"),10)</f>
        <v>-</v>
      </c>
      <c r="M68" s="7"/>
      <c r="N68" s="61"/>
      <c r="O68" s="388"/>
      <c r="P68" s="5">
        <f>IF(AND(K68&gt;750,L68&gt;2),1,0)</f>
        <v>0</v>
      </c>
      <c r="Q68" s="5">
        <f>IF(AND(K68&lt;-750,L68&gt;2),1,0)</f>
        <v>0</v>
      </c>
      <c r="R68" s="5">
        <f>SUM(P68:Q68)</f>
        <v>0</v>
      </c>
      <c r="S68" s="156" t="str">
        <f>IF(R68&lt;&gt;0,A68&amp;" ("&amp;H68&amp;", "&amp;I68&amp;")"&amp;", ","")</f>
        <v/>
      </c>
      <c r="U68" s="156" t="str">
        <f>IF(I68&lt;&gt;J68,A68&amp;" ("&amp;I68&amp;", "&amp;J68&amp;")"&amp;", ","")</f>
        <v/>
      </c>
    </row>
    <row r="69" spans="1:22" customFormat="1" ht="12.75" customHeight="1" x14ac:dyDescent="0.25">
      <c r="A69" s="345"/>
      <c r="B69" s="348"/>
      <c r="C69" s="330"/>
      <c r="D69" s="326"/>
      <c r="E69" s="326"/>
      <c r="F69" s="326"/>
      <c r="G69" s="327"/>
      <c r="H69" s="408"/>
      <c r="I69" s="328"/>
      <c r="J69" s="328"/>
      <c r="K69" s="7"/>
      <c r="L69" s="7"/>
      <c r="M69" s="7"/>
    </row>
    <row r="70" spans="1:22" customFormat="1" ht="12.75" customHeight="1" x14ac:dyDescent="0.25">
      <c r="A70" s="345">
        <v>14</v>
      </c>
      <c r="B70" s="335" t="s">
        <v>864</v>
      </c>
      <c r="C70" s="360"/>
      <c r="D70" s="361"/>
      <c r="E70" s="361"/>
      <c r="F70" s="361"/>
      <c r="G70" s="362"/>
      <c r="H70" s="324">
        <f>(H66+H68)</f>
        <v>2204368</v>
      </c>
      <c r="I70" s="324">
        <f>(I66+I68)</f>
        <v>2054658</v>
      </c>
      <c r="J70" s="324">
        <f>(J66+J68)</f>
        <v>2054658</v>
      </c>
      <c r="K70" s="7">
        <f>H70-I70</f>
        <v>149710</v>
      </c>
      <c r="L70" s="7">
        <f>IF(AND(OR(H70=0,I70&lt;&gt;0),OR(I70=0,H70&lt;&gt;0)),IF((H70+I70+K70&lt;&gt;0),IF(AND(OR(H70&gt;0,I70&lt;0),OR(I70&gt;0,H70&lt;0)),ABS(K70/MIN(ABS(I70),ABS(H70))),10),"-"),10)</f>
        <v>7.2863707731408336E-2</v>
      </c>
      <c r="M70" s="7"/>
      <c r="N70" s="19"/>
      <c r="O70" s="19"/>
      <c r="P70" s="19"/>
      <c r="Q70" s="19"/>
      <c r="R70" s="19"/>
      <c r="S70" s="19"/>
      <c r="T70" s="19"/>
    </row>
    <row r="71" spans="1:22" customFormat="1" ht="12.75" customHeight="1" x14ac:dyDescent="0.25">
      <c r="A71" s="345"/>
      <c r="B71" s="348"/>
      <c r="C71" s="330"/>
      <c r="D71" s="326"/>
      <c r="E71" s="326"/>
      <c r="F71" s="326"/>
      <c r="G71" s="327"/>
      <c r="H71" s="408"/>
      <c r="I71" s="328"/>
      <c r="J71" s="328"/>
      <c r="K71" s="7"/>
      <c r="L71" s="7"/>
      <c r="M71" s="7"/>
      <c r="V71" s="4"/>
    </row>
    <row r="72" spans="1:22" customFormat="1" ht="12.75" customHeight="1" x14ac:dyDescent="0.25">
      <c r="A72" s="345">
        <v>15</v>
      </c>
      <c r="B72" s="12" t="s">
        <v>865</v>
      </c>
      <c r="C72" s="185"/>
      <c r="D72" s="34"/>
      <c r="E72" s="34"/>
      <c r="F72" s="34"/>
      <c r="G72" s="39"/>
      <c r="H72" s="320">
        <v>0</v>
      </c>
      <c r="I72" s="320">
        <v>0</v>
      </c>
      <c r="J72" s="347">
        <v>0</v>
      </c>
      <c r="K72" s="7">
        <f>H72-I72</f>
        <v>0</v>
      </c>
      <c r="L72" s="7" t="str">
        <f>IF(AND(OR(H72=0,I72&lt;&gt;0),OR(I72=0,H72&lt;&gt;0)),IF((H72+I72+K72&lt;&gt;0),IF(AND(OR(H72&gt;0,I72&lt;0),OR(I72&gt;0,H72&lt;0)),ABS(K72/MIN(ABS(I72),ABS(H72))),10),"-"),10)</f>
        <v>-</v>
      </c>
      <c r="M72" s="7"/>
      <c r="N72" s="19"/>
      <c r="O72" s="19"/>
      <c r="P72" s="19"/>
      <c r="Q72" s="19"/>
      <c r="R72" s="19"/>
      <c r="S72" s="19"/>
      <c r="T72" s="19"/>
      <c r="V72" s="157"/>
    </row>
    <row r="73" spans="1:22" customFormat="1" ht="12.75" customHeight="1" x14ac:dyDescent="0.25"/>
    <row r="74" spans="1:22" customFormat="1" ht="12.75" customHeight="1" x14ac:dyDescent="0.25"/>
  </sheetData>
  <sheetProtection algorithmName="SHA-512" hashValue="O3vqq/t+m+Vq0j6PED+LsNlC+ihoB/RLUFVTYdFlnP9JsJzBKH/WhD/5F9AMDPexJWShHffNpTB24An5SKSa9w==" saltValue="k4QV2gSwd5V47Dk4dIwESw==" spinCount="100000" sheet="1" objects="1"/>
  <conditionalFormatting sqref="I6:I8 I10:I12 I14:I15 I19:I25 I29:I32 I34 I36 I39 I46:I48 I50 I54:I55 I61:I62 I64:I65 I68">
    <cfRule type="expression" dxfId="6" priority="1">
      <formula>I6&lt;&gt;J6</formula>
    </cfRule>
  </conditionalFormatting>
  <conditionalFormatting sqref="N6:O8 N10:O12 N14:O15 N19:O21 N24:O25 N29:O32 N34:O34 N36:O36 N39:O39 N46:O48 N50:O50 N54:O55 N61:O62 N64:O65 N68:O68">
    <cfRule type="expression" dxfId="5" priority="2">
      <formula>AND(OR((L6)&gt;2,(L6)&lt;-2),(L6)&lt;&gt;"-",OR((K6)&gt;750,(K6)&lt;-750))</formula>
    </cfRule>
  </conditionalFormatting>
  <dataValidations count="5">
    <dataValidation type="whole" operator="greaterThan" allowBlank="1" showInputMessage="1" showErrorMessage="1" promptTitle="Liabilities" prompt="should be entered as a negative" sqref="H39:J39">
      <formula1>-999999999</formula1>
    </dataValidation>
    <dataValidation type="whole" operator="greaterThan" allowBlank="1" showInputMessage="1" showErrorMessage="1" promptTitle="If a value is entered here…" prompt="it must be a negative value." sqref="J8">
      <formula1>-999999999</formula1>
    </dataValidation>
    <dataValidation type="whole" operator="greaterThan" allowBlank="1" showInputMessage="1" showErrorMessage="1" errorTitle="Whole numbers only allowed" error="All monies should be independently rounded to the nearest £1,000." sqref="H6:J7 H10:J15 H19:J25 H29:J36 H46:J50 H54:J55 H61:J62 H64:J65 H68:I68 H72:J72">
      <formula1>-99999999</formula1>
    </dataValidation>
    <dataValidation type="whole" allowBlank="1" showInputMessage="1" showErrorMessage="1" promptTitle="If a value is entered here…" prompt="it must be a negative value." sqref="H8">
      <formula1>-999999999</formula1>
      <formula2>0</formula2>
    </dataValidation>
    <dataValidation type="whole" allowBlank="1" showInputMessage="1" showErrorMessage="1" promptTitle="If a value is entered here…" prompt="it must be a negative value." sqref="I8">
      <formula1>-9999999999</formula1>
      <formula2>0</formula2>
    </dataValidation>
  </dataValidations>
  <printOptions headings="1" gridLines="1"/>
  <pageMargins left="0.70866141732283472" right="0.70866141732283472" top="0.74803149606299213" bottom="0.74803149606299213"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'Hide_me(drop_downs)'!$A$6:$A$10</xm:f>
          </x14:formula1>
          <xm:sqref>N61:O62 N39:O39 N14:O15 N36:O36 N24:O25 N68:O68 N64:O65 N6:O8 N19:O21 N10:O12 N29:O32 N34:O34 N46:O48 N50:O50 N54:O55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U28"/>
  <sheetViews>
    <sheetView workbookViewId="0">
      <selection activeCell="N33" sqref="N33"/>
    </sheetView>
  </sheetViews>
  <sheetFormatPr defaultColWidth="10.5703125" defaultRowHeight="15" x14ac:dyDescent="0.25"/>
  <cols>
    <col min="1" max="1" width="12.85546875" customWidth="1"/>
    <col min="2" max="2" width="3.140625" customWidth="1"/>
    <col min="3" max="3" width="68.42578125" bestFit="1" customWidth="1"/>
    <col min="4" max="4" width="3" hidden="1" customWidth="1"/>
    <col min="5" max="5" width="2.7109375" hidden="1" customWidth="1"/>
    <col min="6" max="6" width="2.140625" hidden="1" customWidth="1"/>
    <col min="7" max="7" width="2.28515625" hidden="1" customWidth="1"/>
    <col min="8" max="9" width="15.7109375" customWidth="1"/>
    <col min="10" max="10" width="15.7109375" hidden="1" customWidth="1"/>
    <col min="11" max="12" width="16.140625" hidden="1" customWidth="1"/>
    <col min="13" max="13" width="4.42578125" hidden="1" customWidth="1"/>
    <col min="14" max="14" width="76.7109375" bestFit="1" customWidth="1"/>
    <col min="15" max="15" width="8.5703125" hidden="1" customWidth="1"/>
    <col min="16" max="18" width="9.140625" hidden="1" customWidth="1"/>
    <col min="19" max="19" width="12.42578125" hidden="1" customWidth="1"/>
    <col min="20" max="20" width="9.140625" hidden="1" customWidth="1"/>
    <col min="21" max="21" width="13.140625" hidden="1" customWidth="1"/>
  </cols>
  <sheetData>
    <row r="1" spans="1:21" ht="53.25" customHeight="1" thickBot="1" x14ac:dyDescent="0.3">
      <c r="A1" s="409" t="s">
        <v>866</v>
      </c>
      <c r="B1" s="410" t="s">
        <v>867</v>
      </c>
      <c r="C1" s="409"/>
      <c r="D1" s="411"/>
      <c r="E1" s="411"/>
      <c r="F1" s="411"/>
      <c r="G1" s="411"/>
      <c r="H1" s="412"/>
      <c r="I1" s="291" t="s">
        <v>709</v>
      </c>
      <c r="J1" s="292" t="s">
        <v>709</v>
      </c>
      <c r="K1" s="5"/>
      <c r="L1" s="18"/>
      <c r="M1" s="18"/>
      <c r="N1" s="5"/>
      <c r="O1" s="5"/>
      <c r="P1" s="5"/>
      <c r="Q1" s="5"/>
      <c r="R1" s="5"/>
      <c r="S1" s="293" t="str">
        <f>Title_Page!H66</f>
        <v>PASS</v>
      </c>
      <c r="T1" s="5"/>
      <c r="U1" s="293" t="str">
        <f>Title_Page!H67</f>
        <v>PASS</v>
      </c>
    </row>
    <row r="2" spans="1:21" ht="48" customHeight="1" x14ac:dyDescent="0.25">
      <c r="A2" s="413"/>
      <c r="B2" s="414"/>
      <c r="C2" s="414"/>
      <c r="D2" s="414"/>
      <c r="E2" s="414"/>
      <c r="F2" s="414"/>
      <c r="G2" s="414"/>
      <c r="H2" s="415"/>
      <c r="I2" s="297" t="s">
        <v>710</v>
      </c>
      <c r="J2" s="297" t="s">
        <v>711</v>
      </c>
      <c r="K2" s="5"/>
      <c r="L2" s="18"/>
      <c r="M2" s="18"/>
      <c r="N2" s="27" t="str">
        <f>'Hide_me(drop_downs)'!I5</f>
        <v>Variance (2019/20 v. 2018/19 restated)</v>
      </c>
      <c r="O2" s="168"/>
      <c r="P2" s="165" t="s">
        <v>712</v>
      </c>
      <c r="Q2" s="70"/>
      <c r="R2" s="70"/>
      <c r="S2" s="132"/>
      <c r="T2" s="5"/>
      <c r="U2" s="5" t="s">
        <v>713</v>
      </c>
    </row>
    <row r="3" spans="1:21" ht="34.35" customHeight="1" x14ac:dyDescent="0.25">
      <c r="A3" s="413"/>
      <c r="B3" s="414"/>
      <c r="C3" s="414"/>
      <c r="D3" s="414"/>
      <c r="E3" s="414"/>
      <c r="F3" s="414"/>
      <c r="G3" s="416"/>
      <c r="H3" s="381" t="str">
        <f>'Hide_me(drop_downs)'!I1</f>
        <v>Year ended 31 July 2020</v>
      </c>
      <c r="I3" s="381" t="str">
        <f>'Hide_me(drop_downs)'!J1</f>
        <v>Year ended 31 July 2019</v>
      </c>
      <c r="J3" s="381" t="str">
        <f>'Hide_me(drop_downs)'!J1</f>
        <v>Year ended 31 July 2019</v>
      </c>
      <c r="K3" s="5"/>
      <c r="L3" s="20"/>
      <c r="M3" s="20"/>
      <c r="N3" s="28" t="s">
        <v>714</v>
      </c>
      <c r="O3" s="28"/>
      <c r="P3" s="131"/>
      <c r="Q3" s="5"/>
      <c r="R3" s="5"/>
      <c r="S3" s="132"/>
      <c r="T3" s="5"/>
      <c r="U3" s="5" t="s">
        <v>715</v>
      </c>
    </row>
    <row r="4" spans="1:21" ht="15.6" customHeight="1" thickBot="1" x14ac:dyDescent="0.3">
      <c r="A4" s="413"/>
      <c r="B4" s="414"/>
      <c r="C4" s="414"/>
      <c r="D4" s="414"/>
      <c r="E4" s="414"/>
      <c r="F4" s="414"/>
      <c r="G4" s="416"/>
      <c r="H4" s="381" t="s">
        <v>717</v>
      </c>
      <c r="I4" s="381" t="s">
        <v>717</v>
      </c>
      <c r="J4" s="381" t="s">
        <v>717</v>
      </c>
      <c r="K4" s="5"/>
      <c r="L4" s="20"/>
      <c r="M4" s="20"/>
      <c r="N4" s="29" t="s">
        <v>719</v>
      </c>
      <c r="O4" s="29"/>
      <c r="P4" s="133" t="s">
        <v>720</v>
      </c>
      <c r="Q4" s="5"/>
      <c r="R4" s="5"/>
      <c r="S4" s="132"/>
      <c r="T4" s="5"/>
      <c r="U4" s="133" t="s">
        <v>358</v>
      </c>
    </row>
    <row r="5" spans="1:21" ht="14.65" customHeight="1" thickBot="1" x14ac:dyDescent="0.3">
      <c r="A5" s="417"/>
      <c r="B5" s="308" t="s">
        <v>805</v>
      </c>
      <c r="C5" s="309"/>
      <c r="D5" s="309"/>
      <c r="E5" s="309"/>
      <c r="F5" s="309"/>
      <c r="G5" s="310"/>
      <c r="H5" s="311"/>
      <c r="I5" s="311"/>
      <c r="J5" s="311"/>
      <c r="K5" s="18" t="s">
        <v>717</v>
      </c>
      <c r="L5" s="18" t="s">
        <v>718</v>
      </c>
      <c r="M5" s="18"/>
      <c r="N5" s="18" t="s">
        <v>722</v>
      </c>
      <c r="O5" s="18"/>
      <c r="S5" s="293" t="str">
        <f>IF(S1="FAIL","Head","")</f>
        <v/>
      </c>
      <c r="T5" s="18"/>
      <c r="U5" s="293" t="str">
        <f>IF(U1="FAIL","Head","")</f>
        <v/>
      </c>
    </row>
    <row r="6" spans="1:21" ht="12.75" customHeight="1" thickBot="1" x14ac:dyDescent="0.3">
      <c r="A6" s="417">
        <v>1</v>
      </c>
      <c r="B6" s="13" t="s">
        <v>798</v>
      </c>
      <c r="C6" s="385"/>
      <c r="D6" s="385"/>
      <c r="E6" s="385"/>
      <c r="F6" s="385"/>
      <c r="G6" s="14"/>
      <c r="H6" s="2"/>
      <c r="I6" s="2"/>
      <c r="J6" s="2"/>
      <c r="K6" s="30" t="s">
        <v>358</v>
      </c>
      <c r="L6" s="30" t="s">
        <v>358</v>
      </c>
      <c r="M6" s="30"/>
    </row>
    <row r="7" spans="1:21" ht="12.75" customHeight="1" thickBot="1" x14ac:dyDescent="0.3">
      <c r="A7" s="307" t="s">
        <v>723</v>
      </c>
      <c r="B7" s="11"/>
      <c r="C7" s="384" t="s">
        <v>868</v>
      </c>
      <c r="D7" s="385"/>
      <c r="E7" s="385"/>
      <c r="F7" s="385"/>
      <c r="G7" s="15"/>
      <c r="H7" s="21">
        <v>0</v>
      </c>
      <c r="I7" s="21">
        <v>0</v>
      </c>
      <c r="J7" s="167">
        <v>0</v>
      </c>
      <c r="K7" s="163">
        <f t="shared" ref="K7:K12" si="0">H7-I7</f>
        <v>0</v>
      </c>
      <c r="L7" s="164" t="str">
        <f t="shared" ref="L7:L12" si="1">IF(AND(OR(H7=0,I7&lt;&gt;0),OR(I7=0,H7&lt;&gt;0)),IF((H7+I7+K7&lt;&gt;0),IF(AND(OR(H7&gt;0,I7&lt;0),OR(I7&gt;0,H7&lt;0)),ABS(K7/MIN(ABS(I7),ABS(H7))),10),"-"),10)</f>
        <v>-</v>
      </c>
      <c r="M7" s="7"/>
      <c r="N7" s="61"/>
      <c r="O7" s="388"/>
      <c r="P7" s="5">
        <f>IF(AND(K7&gt;750,L7&gt;2),1,0)</f>
        <v>0</v>
      </c>
      <c r="Q7" s="5">
        <f>IF(AND(K7&lt;-750,L7&gt;2),1,0)</f>
        <v>0</v>
      </c>
      <c r="R7" s="5">
        <f>SUM(P7:Q7)</f>
        <v>0</v>
      </c>
      <c r="S7" s="156" t="str">
        <f>IF(R7&lt;&gt;0,A7&amp;" ("&amp;H7&amp;", "&amp;I7&amp;")"&amp;", ","")</f>
        <v/>
      </c>
      <c r="T7" s="5"/>
      <c r="U7" s="156" t="str">
        <f>IF(I7&lt;&gt;J7,A7&amp;" ("&amp;I7&amp;", "&amp;J7&amp;")"&amp;", ","")</f>
        <v/>
      </c>
    </row>
    <row r="8" spans="1:21" ht="12.75" customHeight="1" thickBot="1" x14ac:dyDescent="0.3">
      <c r="A8" s="307" t="s">
        <v>725</v>
      </c>
      <c r="B8" s="11"/>
      <c r="C8" s="384" t="s">
        <v>869</v>
      </c>
      <c r="D8" s="385"/>
      <c r="E8" s="385"/>
      <c r="F8" s="385"/>
      <c r="G8" s="15"/>
      <c r="H8" s="21">
        <v>0</v>
      </c>
      <c r="I8" s="21">
        <v>0</v>
      </c>
      <c r="J8" s="167">
        <v>0</v>
      </c>
      <c r="K8" s="163">
        <f t="shared" si="0"/>
        <v>0</v>
      </c>
      <c r="L8" s="164" t="str">
        <f t="shared" si="1"/>
        <v>-</v>
      </c>
      <c r="M8" s="7"/>
      <c r="N8" s="61"/>
      <c r="O8" s="388"/>
      <c r="P8" s="5">
        <f>IF(AND(K8&gt;750,L8&gt;2),1,0)</f>
        <v>0</v>
      </c>
      <c r="Q8" s="5">
        <f>IF(AND(K8&lt;-750,L8&gt;2),1,0)</f>
        <v>0</v>
      </c>
      <c r="R8" s="5">
        <f>SUM(P8:Q8)</f>
        <v>0</v>
      </c>
      <c r="S8" s="156" t="str">
        <f>IF(R8&lt;&gt;0,A8&amp;" ("&amp;H8&amp;", "&amp;I8&amp;")"&amp;", ","")</f>
        <v/>
      </c>
      <c r="T8" s="5"/>
      <c r="U8" s="156" t="str">
        <f>IF(I8&lt;&gt;J8,A8&amp;" ("&amp;I8&amp;", "&amp;J8&amp;")"&amp;", ","")</f>
        <v/>
      </c>
    </row>
    <row r="9" spans="1:21" ht="12.75" customHeight="1" thickBot="1" x14ac:dyDescent="0.3">
      <c r="A9" s="307" t="s">
        <v>727</v>
      </c>
      <c r="B9" s="11"/>
      <c r="C9" s="384" t="s">
        <v>870</v>
      </c>
      <c r="D9" s="385"/>
      <c r="E9" s="385"/>
      <c r="F9" s="385"/>
      <c r="G9" s="15"/>
      <c r="H9" s="21">
        <v>0</v>
      </c>
      <c r="I9" s="21">
        <v>0</v>
      </c>
      <c r="J9" s="167">
        <v>0</v>
      </c>
      <c r="K9" s="163">
        <f t="shared" si="0"/>
        <v>0</v>
      </c>
      <c r="L9" s="164" t="str">
        <f t="shared" si="1"/>
        <v>-</v>
      </c>
      <c r="M9" s="7"/>
      <c r="N9" s="61"/>
      <c r="O9" s="388"/>
      <c r="P9" s="5">
        <f>IF(AND(K9&gt;750,L9&gt;2),1,0)</f>
        <v>0</v>
      </c>
      <c r="Q9" s="5">
        <f>IF(AND(K9&lt;-750,L9&gt;2),1,0)</f>
        <v>0</v>
      </c>
      <c r="R9" s="5">
        <f>SUM(P9:Q9)</f>
        <v>0</v>
      </c>
      <c r="S9" s="156" t="str">
        <f>IF(R9&lt;&gt;0,A9&amp;" ("&amp;H9&amp;", "&amp;I9&amp;")"&amp;", ","")</f>
        <v/>
      </c>
      <c r="T9" s="5"/>
      <c r="U9" s="156" t="str">
        <f>IF(I9&lt;&gt;J9,A9&amp;" ("&amp;I9&amp;", "&amp;J9&amp;")"&amp;", ","")</f>
        <v/>
      </c>
    </row>
    <row r="10" spans="1:21" ht="12.75" customHeight="1" thickBot="1" x14ac:dyDescent="0.3">
      <c r="A10" s="307" t="s">
        <v>729</v>
      </c>
      <c r="B10" s="11"/>
      <c r="C10" s="384" t="s">
        <v>871</v>
      </c>
      <c r="D10" s="385"/>
      <c r="E10" s="385"/>
      <c r="F10" s="385"/>
      <c r="G10" s="15"/>
      <c r="H10" s="21">
        <v>177785</v>
      </c>
      <c r="I10" s="21">
        <v>147296</v>
      </c>
      <c r="J10" s="167">
        <v>147296</v>
      </c>
      <c r="K10" s="163">
        <f t="shared" si="0"/>
        <v>30489</v>
      </c>
      <c r="L10" s="164">
        <f t="shared" si="1"/>
        <v>0.20699136432761242</v>
      </c>
      <c r="M10" s="7"/>
      <c r="N10" s="61"/>
      <c r="O10" s="388"/>
      <c r="P10" s="5">
        <f>IF(AND(K10&gt;750,L10&gt;2),1,0)</f>
        <v>0</v>
      </c>
      <c r="Q10" s="5">
        <f>IF(AND(K10&lt;-750,L10&gt;2),1,0)</f>
        <v>0</v>
      </c>
      <c r="R10" s="5">
        <f>SUM(P10:Q10)</f>
        <v>0</v>
      </c>
      <c r="S10" s="156" t="str">
        <f>IF(R10&lt;&gt;0,A10&amp;" ("&amp;H10&amp;", "&amp;I10&amp;")"&amp;", ","")</f>
        <v/>
      </c>
      <c r="T10" s="5"/>
      <c r="U10" s="156" t="str">
        <f>IF(I10&lt;&gt;J10,A10&amp;" ("&amp;I10&amp;", "&amp;J10&amp;")"&amp;", ","")</f>
        <v/>
      </c>
    </row>
    <row r="11" spans="1:21" ht="12.75" customHeight="1" thickBot="1" x14ac:dyDescent="0.3">
      <c r="A11" s="307" t="s">
        <v>731</v>
      </c>
      <c r="B11" s="11"/>
      <c r="C11" s="384" t="s">
        <v>872</v>
      </c>
      <c r="D11" s="385"/>
      <c r="E11" s="385"/>
      <c r="F11" s="385"/>
      <c r="G11" s="15"/>
      <c r="H11" s="21">
        <v>26701</v>
      </c>
      <c r="I11" s="21">
        <v>60115</v>
      </c>
      <c r="J11" s="167">
        <v>60115</v>
      </c>
      <c r="K11" s="163">
        <f t="shared" si="0"/>
        <v>-33414</v>
      </c>
      <c r="L11" s="164">
        <f t="shared" si="1"/>
        <v>1.2514138047264147</v>
      </c>
      <c r="M11" s="7"/>
      <c r="N11" s="61"/>
      <c r="O11" s="388"/>
      <c r="P11" s="5">
        <f>IF(AND(K11&gt;750,L11&gt;2),1,0)</f>
        <v>0</v>
      </c>
      <c r="Q11" s="5">
        <f>IF(AND(K11&lt;-750,L11&gt;2),1,0)</f>
        <v>0</v>
      </c>
      <c r="R11" s="5">
        <f>SUM(P11:Q11)</f>
        <v>0</v>
      </c>
      <c r="S11" s="156" t="str">
        <f>IF(R11&lt;&gt;0,A11&amp;" ("&amp;H11&amp;", "&amp;I11&amp;")"&amp;", ","")</f>
        <v/>
      </c>
      <c r="T11" s="5"/>
      <c r="U11" s="156" t="str">
        <f>IF(I11&lt;&gt;J11,A11&amp;" ("&amp;I11&amp;", "&amp;J11&amp;")"&amp;", ","")</f>
        <v/>
      </c>
    </row>
    <row r="12" spans="1:21" ht="12.75" customHeight="1" x14ac:dyDescent="0.25">
      <c r="A12" s="307" t="s">
        <v>733</v>
      </c>
      <c r="B12" s="405" t="s">
        <v>873</v>
      </c>
      <c r="C12" s="390"/>
      <c r="D12" s="390"/>
      <c r="E12" s="390"/>
      <c r="F12" s="390"/>
      <c r="G12" s="418"/>
      <c r="H12" s="324">
        <f>SUM(H7:H11)</f>
        <v>204486</v>
      </c>
      <c r="I12" s="324">
        <f>SUM(I7:I11)</f>
        <v>207411</v>
      </c>
      <c r="J12" s="324">
        <f>SUM(J7:J11)</f>
        <v>207411</v>
      </c>
      <c r="K12" s="7">
        <f t="shared" si="0"/>
        <v>-2925</v>
      </c>
      <c r="L12" s="7">
        <f t="shared" si="1"/>
        <v>1.4304157741850298E-2</v>
      </c>
      <c r="M12" s="7"/>
      <c r="N12" s="19"/>
      <c r="O12" s="19"/>
    </row>
    <row r="13" spans="1:21" ht="12.75" customHeight="1" x14ac:dyDescent="0.25">
      <c r="A13" s="307"/>
      <c r="B13" s="13"/>
      <c r="C13" s="385"/>
      <c r="D13" s="385"/>
      <c r="E13" s="385"/>
      <c r="F13" s="385"/>
      <c r="G13" s="14"/>
      <c r="H13" s="2"/>
      <c r="I13" s="2"/>
      <c r="J13" s="2"/>
      <c r="K13" s="7"/>
      <c r="L13" s="7"/>
      <c r="M13" s="7"/>
    </row>
    <row r="14" spans="1:21" ht="12.75" customHeight="1" thickBot="1" x14ac:dyDescent="0.3">
      <c r="A14" s="307">
        <v>2</v>
      </c>
      <c r="B14" s="13" t="s">
        <v>808</v>
      </c>
      <c r="C14" s="385"/>
      <c r="D14" s="385"/>
      <c r="E14" s="385"/>
      <c r="F14" s="385"/>
      <c r="G14" s="14"/>
      <c r="H14" s="2"/>
      <c r="I14" s="2"/>
      <c r="J14" s="2"/>
      <c r="K14" s="7"/>
      <c r="L14" s="7"/>
      <c r="M14" s="7"/>
    </row>
    <row r="15" spans="1:21" ht="12.75" customHeight="1" thickBot="1" x14ac:dyDescent="0.3">
      <c r="A15" s="307" t="s">
        <v>738</v>
      </c>
      <c r="B15" s="11"/>
      <c r="C15" s="384" t="s">
        <v>868</v>
      </c>
      <c r="D15" s="385"/>
      <c r="E15" s="385"/>
      <c r="F15" s="385"/>
      <c r="G15" s="15"/>
      <c r="H15" s="21">
        <v>0</v>
      </c>
      <c r="I15" s="21">
        <v>0</v>
      </c>
      <c r="J15" s="167">
        <v>0</v>
      </c>
      <c r="K15" s="163">
        <f t="shared" ref="K15:K20" si="2">H15-I15</f>
        <v>0</v>
      </c>
      <c r="L15" s="164" t="str">
        <f t="shared" ref="L15:L20" si="3">IF(AND(OR(H15=0,I15&lt;&gt;0),OR(I15=0,H15&lt;&gt;0)),IF((H15+I15+K15&lt;&gt;0),IF(AND(OR(H15&gt;0,I15&lt;0),OR(I15&gt;0,H15&lt;0)),ABS(K15/MIN(ABS(I15),ABS(H15))),10),"-"),10)</f>
        <v>-</v>
      </c>
      <c r="M15" s="7"/>
      <c r="N15" s="61"/>
      <c r="O15" s="388"/>
      <c r="P15" s="5">
        <f>IF(AND(K15&gt;750,L15&gt;2),1,0)</f>
        <v>0</v>
      </c>
      <c r="Q15" s="5">
        <f>IF(AND(K15&lt;-750,L15&gt;2),1,0)</f>
        <v>0</v>
      </c>
      <c r="R15" s="5">
        <f>SUM(P15:Q15)</f>
        <v>0</v>
      </c>
      <c r="S15" s="156" t="str">
        <f>IF(R15&lt;&gt;0,A15&amp;" ("&amp;H15&amp;", "&amp;I15&amp;")"&amp;", ","")</f>
        <v/>
      </c>
      <c r="T15" s="5"/>
      <c r="U15" s="156" t="str">
        <f>IF(I15&lt;&gt;J15,A15&amp;" ("&amp;I15&amp;", "&amp;J15&amp;")"&amp;", ","")</f>
        <v/>
      </c>
    </row>
    <row r="16" spans="1:21" ht="12.75" customHeight="1" thickBot="1" x14ac:dyDescent="0.3">
      <c r="A16" s="307" t="s">
        <v>740</v>
      </c>
      <c r="B16" s="11"/>
      <c r="C16" s="384" t="s">
        <v>869</v>
      </c>
      <c r="D16" s="385"/>
      <c r="E16" s="385"/>
      <c r="F16" s="385"/>
      <c r="G16" s="15"/>
      <c r="H16" s="21">
        <v>0</v>
      </c>
      <c r="I16" s="21">
        <v>0</v>
      </c>
      <c r="J16" s="167">
        <v>0</v>
      </c>
      <c r="K16" s="163">
        <f t="shared" si="2"/>
        <v>0</v>
      </c>
      <c r="L16" s="164" t="str">
        <f t="shared" si="3"/>
        <v>-</v>
      </c>
      <c r="M16" s="7"/>
      <c r="N16" s="61"/>
      <c r="O16" s="388"/>
      <c r="P16" s="5">
        <f>IF(AND(K16&gt;750,L16&gt;2),1,0)</f>
        <v>0</v>
      </c>
      <c r="Q16" s="5">
        <f>IF(AND(K16&lt;-750,L16&gt;2),1,0)</f>
        <v>0</v>
      </c>
      <c r="R16" s="5">
        <f>SUM(P16:Q16)</f>
        <v>0</v>
      </c>
      <c r="S16" s="156" t="str">
        <f>IF(R16&lt;&gt;0,A16&amp;" ("&amp;H16&amp;", "&amp;I16&amp;")"&amp;", ","")</f>
        <v/>
      </c>
      <c r="T16" s="5"/>
      <c r="U16" s="156" t="str">
        <f>IF(I16&lt;&gt;J16,A16&amp;" ("&amp;I16&amp;", "&amp;J16&amp;")"&amp;", ","")</f>
        <v/>
      </c>
    </row>
    <row r="17" spans="1:21" ht="12.75" customHeight="1" thickBot="1" x14ac:dyDescent="0.3">
      <c r="A17" s="307" t="s">
        <v>742</v>
      </c>
      <c r="B17" s="11"/>
      <c r="C17" s="384" t="s">
        <v>870</v>
      </c>
      <c r="D17" s="385"/>
      <c r="E17" s="385"/>
      <c r="F17" s="385"/>
      <c r="G17" s="15"/>
      <c r="H17" s="21">
        <v>0</v>
      </c>
      <c r="I17" s="21">
        <v>0</v>
      </c>
      <c r="J17" s="167">
        <v>0</v>
      </c>
      <c r="K17" s="163">
        <f t="shared" si="2"/>
        <v>0</v>
      </c>
      <c r="L17" s="164" t="str">
        <f t="shared" si="3"/>
        <v>-</v>
      </c>
      <c r="M17" s="7"/>
      <c r="N17" s="61"/>
      <c r="O17" s="388"/>
      <c r="P17" s="5">
        <f>IF(AND(K17&gt;750,L17&gt;2),1,0)</f>
        <v>0</v>
      </c>
      <c r="Q17" s="5">
        <f>IF(AND(K17&lt;-750,L17&gt;2),1,0)</f>
        <v>0</v>
      </c>
      <c r="R17" s="5">
        <f>SUM(P17:Q17)</f>
        <v>0</v>
      </c>
      <c r="S17" s="156" t="str">
        <f>IF(R17&lt;&gt;0,A17&amp;" ("&amp;H17&amp;", "&amp;I17&amp;")"&amp;", ","")</f>
        <v/>
      </c>
      <c r="T17" s="5"/>
      <c r="U17" s="156" t="str">
        <f>IF(I17&lt;&gt;J17,A17&amp;" ("&amp;I17&amp;", "&amp;J17&amp;")"&amp;", ","")</f>
        <v/>
      </c>
    </row>
    <row r="18" spans="1:21" ht="12.75" customHeight="1" thickBot="1" x14ac:dyDescent="0.3">
      <c r="A18" s="307" t="s">
        <v>744</v>
      </c>
      <c r="B18" s="11"/>
      <c r="C18" s="384" t="s">
        <v>871</v>
      </c>
      <c r="D18" s="385"/>
      <c r="E18" s="385"/>
      <c r="F18" s="385"/>
      <c r="G18" s="15"/>
      <c r="H18" s="21">
        <v>0</v>
      </c>
      <c r="I18" s="21">
        <v>0</v>
      </c>
      <c r="J18" s="167">
        <v>0</v>
      </c>
      <c r="K18" s="163">
        <f t="shared" si="2"/>
        <v>0</v>
      </c>
      <c r="L18" s="164" t="str">
        <f t="shared" si="3"/>
        <v>-</v>
      </c>
      <c r="M18" s="7"/>
      <c r="N18" s="61"/>
      <c r="O18" s="388"/>
      <c r="P18" s="5">
        <f>IF(AND(K18&gt;750,L18&gt;2),1,0)</f>
        <v>0</v>
      </c>
      <c r="Q18" s="5">
        <f>IF(AND(K18&lt;-750,L18&gt;2),1,0)</f>
        <v>0</v>
      </c>
      <c r="R18" s="5">
        <f>SUM(P18:Q18)</f>
        <v>0</v>
      </c>
      <c r="S18" s="156" t="str">
        <f>IF(R18&lt;&gt;0,A18&amp;" ("&amp;H18&amp;", "&amp;I18&amp;")"&amp;", ","")</f>
        <v/>
      </c>
      <c r="T18" s="5"/>
      <c r="U18" s="156" t="str">
        <f>IF(I18&lt;&gt;J18,A18&amp;" ("&amp;I18&amp;", "&amp;J18&amp;")"&amp;", ","")</f>
        <v/>
      </c>
    </row>
    <row r="19" spans="1:21" ht="12.75" customHeight="1" thickBot="1" x14ac:dyDescent="0.3">
      <c r="A19" s="307" t="s">
        <v>746</v>
      </c>
      <c r="B19" s="11"/>
      <c r="C19" s="384" t="s">
        <v>874</v>
      </c>
      <c r="D19" s="385"/>
      <c r="E19" s="385"/>
      <c r="F19" s="385"/>
      <c r="G19" s="15"/>
      <c r="H19" s="21">
        <v>491499</v>
      </c>
      <c r="I19" s="21">
        <v>238496</v>
      </c>
      <c r="J19" s="167">
        <v>238496</v>
      </c>
      <c r="K19" s="163">
        <f t="shared" si="2"/>
        <v>253003</v>
      </c>
      <c r="L19" s="164">
        <f t="shared" si="3"/>
        <v>1.0608270159667248</v>
      </c>
      <c r="M19" s="7"/>
      <c r="N19" s="61"/>
      <c r="O19" s="388"/>
      <c r="P19" s="5">
        <f>IF(AND(K19&gt;750,L19&gt;2),1,0)</f>
        <v>0</v>
      </c>
      <c r="Q19" s="5">
        <f>IF(AND(K19&lt;-750,L19&gt;2),1,0)</f>
        <v>0</v>
      </c>
      <c r="R19" s="5">
        <f>SUM(P19:Q19)</f>
        <v>0</v>
      </c>
      <c r="S19" s="156" t="str">
        <f>IF(R19&lt;&gt;0,A19&amp;" ("&amp;H19&amp;", "&amp;I19&amp;")"&amp;", ","")</f>
        <v/>
      </c>
      <c r="T19" s="5"/>
      <c r="U19" s="156" t="str">
        <f>IF(I19&lt;&gt;J19,A19&amp;" ("&amp;I19&amp;", "&amp;J19&amp;")"&amp;", ","")</f>
        <v/>
      </c>
    </row>
    <row r="20" spans="1:21" ht="12.75" customHeight="1" x14ac:dyDescent="0.25">
      <c r="A20" s="307" t="s">
        <v>748</v>
      </c>
      <c r="B20" s="405" t="s">
        <v>875</v>
      </c>
      <c r="C20" s="390"/>
      <c r="D20" s="390"/>
      <c r="E20" s="390"/>
      <c r="F20" s="390"/>
      <c r="G20" s="418"/>
      <c r="H20" s="324">
        <f>SUM(H15:H19)</f>
        <v>491499</v>
      </c>
      <c r="I20" s="324">
        <f>SUM(I15:I19)</f>
        <v>238496</v>
      </c>
      <c r="J20" s="324">
        <f>SUM(J15:J19)</f>
        <v>238496</v>
      </c>
      <c r="K20" s="7">
        <f t="shared" si="2"/>
        <v>253003</v>
      </c>
      <c r="L20" s="7">
        <f t="shared" si="3"/>
        <v>1.0608270159667248</v>
      </c>
      <c r="M20" s="7"/>
      <c r="N20" s="19"/>
      <c r="O20" s="19"/>
    </row>
    <row r="21" spans="1:21" ht="12.75" customHeight="1" x14ac:dyDescent="0.25">
      <c r="A21" s="307"/>
      <c r="B21" s="13"/>
      <c r="C21" s="385"/>
      <c r="D21" s="385"/>
      <c r="E21" s="385"/>
      <c r="F21" s="385"/>
      <c r="G21" s="14"/>
      <c r="H21" s="2"/>
      <c r="I21" s="2"/>
      <c r="J21" s="2"/>
      <c r="K21" s="7"/>
      <c r="L21" s="7"/>
      <c r="M21" s="7"/>
    </row>
    <row r="22" spans="1:21" x14ac:dyDescent="0.25">
      <c r="A22" s="345"/>
      <c r="B22" s="357" t="s">
        <v>876</v>
      </c>
      <c r="C22" s="398"/>
      <c r="D22" s="419"/>
      <c r="E22" s="419"/>
      <c r="F22" s="419"/>
      <c r="G22" s="420"/>
      <c r="H22" s="421"/>
      <c r="I22" s="421"/>
    </row>
    <row r="23" spans="1:21" x14ac:dyDescent="0.25">
      <c r="A23" s="345">
        <v>3</v>
      </c>
      <c r="B23" s="422" t="s">
        <v>815</v>
      </c>
      <c r="C23" s="394"/>
      <c r="D23" s="423"/>
      <c r="E23" s="395"/>
      <c r="F23" s="395"/>
      <c r="G23" s="396"/>
      <c r="H23" s="136"/>
      <c r="I23" s="136"/>
    </row>
    <row r="24" spans="1:21" x14ac:dyDescent="0.25">
      <c r="A24" s="345" t="s">
        <v>816</v>
      </c>
      <c r="B24" s="331"/>
      <c r="C24" s="394" t="s">
        <v>877</v>
      </c>
      <c r="D24" s="423"/>
      <c r="E24" s="395"/>
      <c r="F24" s="395"/>
      <c r="G24" s="396"/>
      <c r="H24" s="21">
        <v>0</v>
      </c>
      <c r="I24" s="21">
        <v>0</v>
      </c>
    </row>
    <row r="25" spans="1:21" ht="12.75" customHeight="1" x14ac:dyDescent="0.25">
      <c r="A25" s="345"/>
      <c r="B25" s="13"/>
      <c r="C25" s="385"/>
      <c r="D25" s="385"/>
      <c r="E25" s="385"/>
      <c r="F25" s="385"/>
      <c r="G25" s="14"/>
      <c r="H25" s="2"/>
      <c r="I25" s="2"/>
      <c r="J25" s="2"/>
      <c r="K25" s="7"/>
      <c r="L25" s="7"/>
      <c r="M25" s="7"/>
    </row>
    <row r="26" spans="1:21" x14ac:dyDescent="0.25">
      <c r="A26" s="345"/>
      <c r="B26" s="357" t="s">
        <v>876</v>
      </c>
      <c r="C26" s="398"/>
      <c r="D26" s="419"/>
      <c r="E26" s="419"/>
      <c r="F26" s="419"/>
      <c r="G26" s="420"/>
      <c r="H26" s="421"/>
      <c r="I26" s="421"/>
    </row>
    <row r="27" spans="1:21" x14ac:dyDescent="0.25">
      <c r="A27" s="345">
        <v>4</v>
      </c>
      <c r="B27" s="422" t="s">
        <v>837</v>
      </c>
      <c r="C27" s="394"/>
      <c r="D27" s="423"/>
      <c r="E27" s="395"/>
      <c r="F27" s="395"/>
      <c r="G27" s="396"/>
      <c r="H27" s="136"/>
      <c r="I27" s="136"/>
    </row>
    <row r="28" spans="1:21" x14ac:dyDescent="0.25">
      <c r="A28" s="345" t="s">
        <v>878</v>
      </c>
      <c r="B28" s="331"/>
      <c r="C28" s="394" t="s">
        <v>877</v>
      </c>
      <c r="D28" s="423"/>
      <c r="E28" s="395"/>
      <c r="F28" s="395"/>
      <c r="G28" s="396"/>
      <c r="H28" s="21">
        <v>0</v>
      </c>
      <c r="I28" s="21">
        <v>0</v>
      </c>
    </row>
  </sheetData>
  <sheetProtection algorithmName="SHA-512" hashValue="XbxIj2eIQg/4MkxBE9fkGe8u7OPEGsapsj097K2mHiAhoTPZLRwC4CSNejZIkiP9hn8+fRvUrK8dcA8aWMMW9Q==" saltValue="AFT1JffCnfFzD3LdG4YwNA==" spinCount="100000" sheet="1" objects="1"/>
  <conditionalFormatting sqref="N7:O11 N15:O19">
    <cfRule type="expression" dxfId="4" priority="1">
      <formula>AND(OR((L7)&gt;2,(L7)&lt;-2),(L7)&lt;&gt;"-",OR((K7)&gt;750,(K7)&lt;-750))</formula>
    </cfRule>
  </conditionalFormatting>
  <conditionalFormatting sqref="I7:I11 I15:I19">
    <cfRule type="expression" dxfId="3" priority="2">
      <formula>I7&lt;&gt;J7</formula>
    </cfRule>
  </conditionalFormatting>
  <dataValidations count="1">
    <dataValidation type="whole" operator="greaterThan" allowBlank="1" showInputMessage="1" showErrorMessage="1" errorTitle="Whole numbers only allowed" error="All monies should be independently rounded to the nearest £1,000." sqref="H7:J11 H15:J19 H23:I24 H27:I28">
      <formula1>-99999999</formula1>
    </dataValidation>
  </dataValidations>
  <printOptions headings="1" gridLines="1"/>
  <pageMargins left="0.70866141732283472" right="0.70866141732283472" top="0.74803149606299213" bottom="0.74803149606299213" header="0.31496062992125984" footer="0.31496062992125984"/>
  <pageSetup paperSize="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'Hide_me(drop_downs)'!$A$6:$A$10</xm:f>
          </x14:formula1>
          <xm:sqref>N15:O19 N7:O11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X70"/>
  <sheetViews>
    <sheetView workbookViewId="0">
      <pane ySplit="4" topLeftCell="A41" activePane="bottomLeft" state="frozenSplit"/>
      <selection activeCell="N43" sqref="N43"/>
      <selection pane="bottomLeft" activeCell="C41" sqref="C41"/>
    </sheetView>
  </sheetViews>
  <sheetFormatPr defaultColWidth="9.140625" defaultRowHeight="12.75" x14ac:dyDescent="0.2"/>
  <cols>
    <col min="1" max="1" width="10.42578125" style="9" customWidth="1"/>
    <col min="2" max="2" width="2.28515625" style="5" customWidth="1"/>
    <col min="3" max="3" width="64.7109375" style="5" customWidth="1"/>
    <col min="4" max="4" width="1.85546875" style="5" hidden="1" customWidth="1"/>
    <col min="5" max="6" width="1.5703125" style="5" hidden="1" customWidth="1"/>
    <col min="7" max="7" width="2.42578125" style="5" hidden="1" customWidth="1"/>
    <col min="8" max="8" width="16.140625" style="5" bestFit="1" customWidth="1"/>
    <col min="9" max="9" width="16.28515625" style="5" customWidth="1"/>
    <col min="10" max="10" width="17" style="5" hidden="1" customWidth="1"/>
    <col min="11" max="12" width="16.140625" style="5" hidden="1" customWidth="1"/>
    <col min="13" max="13" width="8.42578125" style="5" hidden="1" customWidth="1"/>
    <col min="14" max="14" width="81.7109375" style="5" customWidth="1"/>
    <col min="15" max="15" width="10.5703125" style="5" hidden="1" customWidth="1"/>
    <col min="16" max="18" width="8.140625" style="5" hidden="1" customWidth="1"/>
    <col min="19" max="19" width="11.5703125" style="5" hidden="1" customWidth="1"/>
    <col min="20" max="20" width="8.140625" style="5" hidden="1" customWidth="1"/>
    <col min="21" max="21" width="13.7109375" style="5" hidden="1" customWidth="1"/>
    <col min="22" max="22" width="9.140625" style="5" hidden="1" customWidth="1"/>
    <col min="23" max="23" width="65.42578125" style="5" hidden="1" customWidth="1"/>
    <col min="24" max="24" width="9.140625" style="5" customWidth="1"/>
    <col min="25" max="16384" width="9.140625" style="5"/>
  </cols>
  <sheetData>
    <row r="1" spans="1:23" customFormat="1" ht="54.75" customHeight="1" thickBot="1" x14ac:dyDescent="0.3">
      <c r="A1" s="367" t="s">
        <v>879</v>
      </c>
      <c r="B1" s="701" t="s">
        <v>880</v>
      </c>
      <c r="C1" s="701"/>
      <c r="D1" s="369"/>
      <c r="E1" s="369"/>
      <c r="F1" s="369"/>
      <c r="G1" s="369"/>
      <c r="H1" s="369"/>
      <c r="I1" s="291" t="s">
        <v>709</v>
      </c>
      <c r="J1" s="292" t="s">
        <v>709</v>
      </c>
      <c r="L1" s="18"/>
      <c r="M1" s="18"/>
      <c r="S1" s="293"/>
      <c r="U1" s="293" t="str">
        <f>Title_Page!H78</f>
        <v>PASS</v>
      </c>
    </row>
    <row r="2" spans="1:23" customFormat="1" ht="45.4" customHeight="1" x14ac:dyDescent="0.25">
      <c r="A2" s="294"/>
      <c r="B2" s="702" t="str">
        <f>'Hide_me(drop_downs)'!I1</f>
        <v>Year ended 31 July 2020</v>
      </c>
      <c r="C2" s="702"/>
      <c r="D2" s="372"/>
      <c r="E2" s="372"/>
      <c r="F2" s="372"/>
      <c r="G2" s="372"/>
      <c r="H2" s="424"/>
      <c r="I2" s="297" t="s">
        <v>710</v>
      </c>
      <c r="J2" s="297" t="s">
        <v>711</v>
      </c>
      <c r="L2" s="20"/>
      <c r="M2" s="20"/>
      <c r="P2" s="130" t="s">
        <v>712</v>
      </c>
      <c r="Q2" s="70"/>
      <c r="R2" s="70"/>
      <c r="S2" s="132"/>
      <c r="U2" s="5" t="s">
        <v>713</v>
      </c>
    </row>
    <row r="3" spans="1:23" customFormat="1" ht="33.75" customHeight="1" x14ac:dyDescent="0.25">
      <c r="A3" s="413"/>
      <c r="B3" s="414"/>
      <c r="C3" s="414"/>
      <c r="D3" s="414"/>
      <c r="E3" s="414"/>
      <c r="F3" s="414"/>
      <c r="G3" s="416"/>
      <c r="H3" s="300" t="str">
        <f>'Hide_me(drop_downs)'!I1</f>
        <v>Year ended 31 July 2020</v>
      </c>
      <c r="I3" s="301" t="str">
        <f>'Hide_me(drop_downs)'!J1</f>
        <v>Year ended 31 July 2019</v>
      </c>
      <c r="J3" s="301" t="str">
        <f>'Hide_me(drop_downs)'!J1</f>
        <v>Year ended 31 July 2019</v>
      </c>
      <c r="K3" s="20"/>
      <c r="L3" s="20"/>
      <c r="M3" s="20"/>
      <c r="P3" s="131"/>
      <c r="S3" s="132"/>
      <c r="U3" s="5" t="s">
        <v>715</v>
      </c>
      <c r="W3" s="377" t="s">
        <v>716</v>
      </c>
    </row>
    <row r="4" spans="1:23" customFormat="1" ht="15.4" customHeight="1" thickBot="1" x14ac:dyDescent="0.3">
      <c r="A4" s="413"/>
      <c r="B4" s="425"/>
      <c r="C4" s="425"/>
      <c r="D4" s="425"/>
      <c r="E4" s="425"/>
      <c r="F4" s="425"/>
      <c r="G4" s="426"/>
      <c r="H4" s="427" t="s">
        <v>717</v>
      </c>
      <c r="I4" s="427" t="s">
        <v>717</v>
      </c>
      <c r="J4" s="427" t="s">
        <v>717</v>
      </c>
      <c r="K4" s="18" t="s">
        <v>717</v>
      </c>
      <c r="L4" s="18" t="s">
        <v>718</v>
      </c>
      <c r="M4" s="18"/>
      <c r="P4" s="133" t="s">
        <v>720</v>
      </c>
      <c r="S4" s="132"/>
      <c r="U4" s="133" t="s">
        <v>358</v>
      </c>
    </row>
    <row r="5" spans="1:23" customFormat="1" ht="12.95" customHeight="1" thickBot="1" x14ac:dyDescent="0.3">
      <c r="A5" s="307">
        <v>1</v>
      </c>
      <c r="B5" s="308" t="s">
        <v>881</v>
      </c>
      <c r="C5" s="309"/>
      <c r="D5" s="309"/>
      <c r="E5" s="309"/>
      <c r="F5" s="309"/>
      <c r="G5" s="310"/>
      <c r="H5" s="311"/>
      <c r="I5" s="311"/>
      <c r="J5" s="311"/>
      <c r="K5" s="30" t="s">
        <v>358</v>
      </c>
      <c r="L5" s="30" t="s">
        <v>358</v>
      </c>
      <c r="M5" s="30"/>
      <c r="P5" s="18"/>
      <c r="Q5" s="18"/>
      <c r="R5" s="18"/>
      <c r="S5" s="293" t="str">
        <f>IF(S1="FAIL","Head","")</f>
        <v/>
      </c>
      <c r="T5" s="18"/>
      <c r="U5" s="293" t="str">
        <f>IF(U1="FAIL","Head","")</f>
        <v/>
      </c>
    </row>
    <row r="6" spans="1:23" customFormat="1" ht="12.6" customHeight="1" thickBot="1" x14ac:dyDescent="0.3">
      <c r="A6" s="307" t="s">
        <v>723</v>
      </c>
      <c r="B6" s="428"/>
      <c r="C6" s="429" t="s">
        <v>882</v>
      </c>
      <c r="D6" s="429"/>
      <c r="E6" s="429"/>
      <c r="F6" s="429"/>
      <c r="G6" s="430"/>
      <c r="H6" s="44">
        <f>Table_1_UK!H30</f>
        <v>203523</v>
      </c>
      <c r="I6" s="21">
        <v>-93037</v>
      </c>
      <c r="J6" s="431">
        <v>-93037</v>
      </c>
      <c r="K6" s="7">
        <f>H6-I6</f>
        <v>296560</v>
      </c>
      <c r="L6" s="7">
        <f>IF(AND(OR(H6=0,I6&lt;&gt;0),OR(I6=0,H6&lt;&gt;0)),IF((H6+I6+K6&lt;&gt;0),IF(AND(OR(H6&gt;0,I6&lt;0),OR(I6&gt;0,H6&lt;0)),ABS(K6/MIN(ABS(I6),ABS(H6))),10),"-"),10)</f>
        <v>10</v>
      </c>
      <c r="M6" s="7"/>
      <c r="U6" s="156" t="str">
        <f>IF(I6&lt;&gt;J6,A6&amp;" ("&amp;I6&amp;", "&amp;J6&amp;")"&amp;", ","")</f>
        <v/>
      </c>
    </row>
    <row r="7" spans="1:23" x14ac:dyDescent="0.2">
      <c r="A7" s="307"/>
      <c r="B7" s="428"/>
      <c r="C7" s="429"/>
      <c r="D7" s="429"/>
      <c r="E7" s="429"/>
      <c r="F7" s="429"/>
      <c r="G7" s="430"/>
      <c r="H7" s="328"/>
      <c r="I7" s="328"/>
      <c r="J7" s="432"/>
      <c r="K7" s="7"/>
      <c r="L7" s="7"/>
      <c r="M7" s="7"/>
    </row>
    <row r="8" spans="1:23" customFormat="1" ht="12.6" customHeight="1" thickBot="1" x14ac:dyDescent="0.3">
      <c r="A8" s="307">
        <v>2</v>
      </c>
      <c r="B8" s="357" t="s">
        <v>883</v>
      </c>
      <c r="C8" s="358"/>
      <c r="D8" s="358"/>
      <c r="E8" s="358"/>
      <c r="F8" s="358"/>
      <c r="G8" s="359"/>
      <c r="H8" s="329"/>
      <c r="I8" s="329"/>
      <c r="J8" s="433"/>
      <c r="K8" s="7"/>
      <c r="L8" s="7"/>
      <c r="M8" s="7"/>
    </row>
    <row r="9" spans="1:23" customFormat="1" ht="12.6" customHeight="1" thickBot="1" x14ac:dyDescent="0.3">
      <c r="A9" s="307" t="s">
        <v>738</v>
      </c>
      <c r="B9" s="434"/>
      <c r="C9" s="384" t="s">
        <v>884</v>
      </c>
      <c r="D9" s="385"/>
      <c r="E9" s="385"/>
      <c r="F9" s="385"/>
      <c r="G9" s="386"/>
      <c r="H9" s="44">
        <f>Table_7_UK!M106</f>
        <v>60930</v>
      </c>
      <c r="I9" s="320">
        <v>63758</v>
      </c>
      <c r="J9" s="431">
        <v>63758</v>
      </c>
      <c r="K9" s="7">
        <f t="shared" ref="K9:K22" si="0">H9-I9</f>
        <v>-2828</v>
      </c>
      <c r="L9" s="7">
        <f t="shared" ref="L9:L22" si="1">IF(AND(OR(H9=0,I9&lt;&gt;0),OR(I9=0,H9&lt;&gt;0)),IF((H9+I9+K9&lt;&gt;0),IF(AND(OR(H9&gt;0,I9&lt;0),OR(I9&gt;0,H9&lt;0)),ABS(K9/MIN(ABS(I9),ABS(H9))),10),"-"),10)</f>
        <v>4.6413917610372557E-2</v>
      </c>
      <c r="M9" s="7"/>
      <c r="U9" s="156" t="str">
        <f t="shared" ref="U9:U22" si="2">IF(I9&lt;&gt;J9,A9&amp;" ("&amp;I9&amp;", "&amp;J9&amp;")"&amp;", ","")</f>
        <v/>
      </c>
    </row>
    <row r="10" spans="1:23" customFormat="1" ht="12.6" customHeight="1" thickBot="1" x14ac:dyDescent="0.3">
      <c r="A10" s="307" t="s">
        <v>740</v>
      </c>
      <c r="B10" s="13"/>
      <c r="C10" s="384" t="s">
        <v>885</v>
      </c>
      <c r="D10" s="315"/>
      <c r="E10" s="315"/>
      <c r="F10" s="16"/>
      <c r="G10" s="386"/>
      <c r="H10" s="320">
        <v>0</v>
      </c>
      <c r="I10" s="320">
        <v>0</v>
      </c>
      <c r="J10" s="431">
        <v>0</v>
      </c>
      <c r="K10" s="7">
        <f t="shared" si="0"/>
        <v>0</v>
      </c>
      <c r="L10" s="7" t="str">
        <f t="shared" si="1"/>
        <v>-</v>
      </c>
      <c r="M10" s="7"/>
      <c r="U10" s="155" t="str">
        <f t="shared" si="2"/>
        <v/>
      </c>
    </row>
    <row r="11" spans="1:23" customFormat="1" ht="12.6" customHeight="1" thickBot="1" x14ac:dyDescent="0.3">
      <c r="A11" s="307" t="s">
        <v>742</v>
      </c>
      <c r="B11" s="13"/>
      <c r="C11" s="384" t="s">
        <v>886</v>
      </c>
      <c r="D11" s="315"/>
      <c r="E11" s="315"/>
      <c r="F11" s="16"/>
      <c r="G11" s="386"/>
      <c r="H11" s="320">
        <v>0</v>
      </c>
      <c r="I11" s="320">
        <v>0</v>
      </c>
      <c r="J11" s="431">
        <v>0</v>
      </c>
      <c r="K11" s="7">
        <f t="shared" si="0"/>
        <v>0</v>
      </c>
      <c r="L11" s="7" t="str">
        <f t="shared" si="1"/>
        <v>-</v>
      </c>
      <c r="M11" s="7"/>
      <c r="U11" s="155" t="str">
        <f t="shared" si="2"/>
        <v/>
      </c>
    </row>
    <row r="12" spans="1:23" customFormat="1" ht="12.6" customHeight="1" thickBot="1" x14ac:dyDescent="0.3">
      <c r="A12" s="307" t="s">
        <v>744</v>
      </c>
      <c r="B12" s="13"/>
      <c r="C12" s="384" t="s">
        <v>887</v>
      </c>
      <c r="D12" s="385"/>
      <c r="E12" s="385"/>
      <c r="F12" s="385"/>
      <c r="G12" s="386"/>
      <c r="H12" s="320">
        <v>0</v>
      </c>
      <c r="I12" s="320">
        <v>0</v>
      </c>
      <c r="J12" s="431">
        <v>0</v>
      </c>
      <c r="K12" s="7">
        <f t="shared" si="0"/>
        <v>0</v>
      </c>
      <c r="L12" s="7" t="str">
        <f t="shared" si="1"/>
        <v>-</v>
      </c>
      <c r="M12" s="7"/>
      <c r="U12" s="155" t="str">
        <f t="shared" si="2"/>
        <v/>
      </c>
    </row>
    <row r="13" spans="1:23" customFormat="1" ht="12.6" customHeight="1" thickBot="1" x14ac:dyDescent="0.3">
      <c r="A13" s="307" t="s">
        <v>746</v>
      </c>
      <c r="B13" s="13"/>
      <c r="C13" s="384" t="s">
        <v>888</v>
      </c>
      <c r="D13" s="385"/>
      <c r="E13" s="385"/>
      <c r="F13" s="385"/>
      <c r="G13" s="386"/>
      <c r="H13" s="44">
        <f>-SUM(Table_1_UK!H26+Table_1_UK!H25)</f>
        <v>-11482</v>
      </c>
      <c r="I13" s="21">
        <v>-36784</v>
      </c>
      <c r="J13" s="431">
        <v>-36784</v>
      </c>
      <c r="K13" s="7">
        <f t="shared" si="0"/>
        <v>25302</v>
      </c>
      <c r="L13" s="7">
        <f t="shared" si="1"/>
        <v>2.2036230621842883</v>
      </c>
      <c r="M13" s="7"/>
      <c r="U13" s="155" t="str">
        <f t="shared" si="2"/>
        <v/>
      </c>
    </row>
    <row r="14" spans="1:23" customFormat="1" ht="12.6" customHeight="1" thickBot="1" x14ac:dyDescent="0.3">
      <c r="A14" s="307" t="s">
        <v>748</v>
      </c>
      <c r="B14" s="13"/>
      <c r="C14" s="384" t="s">
        <v>889</v>
      </c>
      <c r="D14" s="385"/>
      <c r="E14" s="385"/>
      <c r="F14" s="385"/>
      <c r="G14" s="386"/>
      <c r="H14" s="320">
        <v>54</v>
      </c>
      <c r="I14" s="320">
        <v>359</v>
      </c>
      <c r="J14" s="431">
        <v>359</v>
      </c>
      <c r="K14" s="7">
        <f t="shared" si="0"/>
        <v>-305</v>
      </c>
      <c r="L14" s="7">
        <f t="shared" si="1"/>
        <v>5.6481481481481479</v>
      </c>
      <c r="M14" s="7"/>
      <c r="U14" s="155" t="str">
        <f t="shared" si="2"/>
        <v/>
      </c>
    </row>
    <row r="15" spans="1:23" customFormat="1" ht="12.6" customHeight="1" thickBot="1" x14ac:dyDescent="0.3">
      <c r="A15" s="307" t="s">
        <v>811</v>
      </c>
      <c r="B15" s="13"/>
      <c r="C15" s="384" t="s">
        <v>890</v>
      </c>
      <c r="D15" s="385"/>
      <c r="E15" s="385"/>
      <c r="F15" s="385"/>
      <c r="G15" s="386"/>
      <c r="H15" s="320">
        <v>-8988</v>
      </c>
      <c r="I15" s="320">
        <v>-6101</v>
      </c>
      <c r="J15" s="431">
        <v>-6101</v>
      </c>
      <c r="K15" s="7">
        <f t="shared" si="0"/>
        <v>-2887</v>
      </c>
      <c r="L15" s="7">
        <f t="shared" si="1"/>
        <v>0.47320111457138175</v>
      </c>
      <c r="M15" s="7"/>
      <c r="U15" s="155" t="str">
        <f t="shared" si="2"/>
        <v/>
      </c>
    </row>
    <row r="16" spans="1:23" customFormat="1" ht="12.6" customHeight="1" thickBot="1" x14ac:dyDescent="0.3">
      <c r="A16" s="307" t="s">
        <v>813</v>
      </c>
      <c r="B16" s="13"/>
      <c r="C16" s="384" t="s">
        <v>891</v>
      </c>
      <c r="D16" s="385"/>
      <c r="E16" s="385"/>
      <c r="F16" s="385"/>
      <c r="G16" s="386"/>
      <c r="H16" s="320">
        <v>5526</v>
      </c>
      <c r="I16" s="320">
        <v>24767</v>
      </c>
      <c r="J16" s="431">
        <v>24767</v>
      </c>
      <c r="K16" s="7">
        <f t="shared" si="0"/>
        <v>-19241</v>
      </c>
      <c r="L16" s="7">
        <f t="shared" si="1"/>
        <v>3.4819037278320666</v>
      </c>
      <c r="M16" s="7"/>
      <c r="U16" s="155" t="str">
        <f t="shared" si="2"/>
        <v/>
      </c>
    </row>
    <row r="17" spans="1:24" customFormat="1" ht="12.6" customHeight="1" thickBot="1" x14ac:dyDescent="0.3">
      <c r="A17" s="307" t="s">
        <v>892</v>
      </c>
      <c r="B17" s="13"/>
      <c r="C17" s="384" t="s">
        <v>893</v>
      </c>
      <c r="D17" s="385"/>
      <c r="E17" s="385"/>
      <c r="F17" s="385"/>
      <c r="G17" s="386"/>
      <c r="H17" s="320">
        <v>-140823</v>
      </c>
      <c r="I17" s="320">
        <v>196822</v>
      </c>
      <c r="J17" s="431">
        <v>196822</v>
      </c>
      <c r="K17" s="7">
        <f t="shared" si="0"/>
        <v>-337645</v>
      </c>
      <c r="L17" s="7">
        <f t="shared" si="1"/>
        <v>10</v>
      </c>
      <c r="M17" s="7"/>
      <c r="U17" s="155" t="str">
        <f t="shared" si="2"/>
        <v/>
      </c>
    </row>
    <row r="18" spans="1:24" customFormat="1" ht="12.6" customHeight="1" thickBot="1" x14ac:dyDescent="0.3">
      <c r="A18" s="307" t="s">
        <v>894</v>
      </c>
      <c r="B18" s="13"/>
      <c r="C18" s="384" t="s">
        <v>895</v>
      </c>
      <c r="D18" s="385"/>
      <c r="E18" s="385"/>
      <c r="F18" s="385"/>
      <c r="G18" s="386"/>
      <c r="H18" s="320">
        <v>0</v>
      </c>
      <c r="I18" s="320">
        <v>0</v>
      </c>
      <c r="J18" s="431">
        <v>0</v>
      </c>
      <c r="K18" s="7">
        <f t="shared" si="0"/>
        <v>0</v>
      </c>
      <c r="L18" s="7" t="str">
        <f t="shared" si="1"/>
        <v>-</v>
      </c>
      <c r="M18" s="7"/>
      <c r="U18" s="155" t="str">
        <f t="shared" si="2"/>
        <v/>
      </c>
    </row>
    <row r="19" spans="1:24" customFormat="1" ht="12.6" customHeight="1" thickBot="1" x14ac:dyDescent="0.3">
      <c r="A19" s="307" t="s">
        <v>896</v>
      </c>
      <c r="B19" s="13"/>
      <c r="C19" s="384" t="s">
        <v>897</v>
      </c>
      <c r="D19" s="385"/>
      <c r="E19" s="385"/>
      <c r="F19" s="385"/>
      <c r="G19" s="386"/>
      <c r="H19" s="320">
        <v>-148</v>
      </c>
      <c r="I19" s="320">
        <v>-243</v>
      </c>
      <c r="J19" s="431">
        <v>-243</v>
      </c>
      <c r="K19" s="7">
        <f t="shared" si="0"/>
        <v>95</v>
      </c>
      <c r="L19" s="7">
        <f t="shared" si="1"/>
        <v>0.64189189189189189</v>
      </c>
      <c r="M19" s="7"/>
      <c r="U19" s="155" t="str">
        <f t="shared" si="2"/>
        <v/>
      </c>
    </row>
    <row r="20" spans="1:24" customFormat="1" ht="12.6" customHeight="1" thickBot="1" x14ac:dyDescent="0.3">
      <c r="A20" s="307" t="s">
        <v>898</v>
      </c>
      <c r="B20" s="13"/>
      <c r="C20" s="384" t="s">
        <v>899</v>
      </c>
      <c r="D20" s="385"/>
      <c r="E20" s="385"/>
      <c r="F20" s="385"/>
      <c r="G20" s="386"/>
      <c r="H20" s="44">
        <f>-Table_1_UK!H27</f>
        <v>0</v>
      </c>
      <c r="I20" s="21">
        <v>0</v>
      </c>
      <c r="J20" s="431">
        <v>0</v>
      </c>
      <c r="K20" s="7">
        <f t="shared" si="0"/>
        <v>0</v>
      </c>
      <c r="L20" s="7" t="str">
        <f t="shared" si="1"/>
        <v>-</v>
      </c>
      <c r="M20" s="7"/>
      <c r="U20" s="155" t="str">
        <f t="shared" si="2"/>
        <v/>
      </c>
    </row>
    <row r="21" spans="1:24" customFormat="1" ht="12.6" customHeight="1" thickBot="1" x14ac:dyDescent="0.3">
      <c r="A21" s="307" t="s">
        <v>900</v>
      </c>
      <c r="B21" s="13"/>
      <c r="C21" s="384" t="s">
        <v>901</v>
      </c>
      <c r="D21" s="385"/>
      <c r="E21" s="385"/>
      <c r="F21" s="385"/>
      <c r="G21" s="386"/>
      <c r="H21" s="44">
        <f>-Table_1_UK!H28</f>
        <v>0</v>
      </c>
      <c r="I21" s="21">
        <v>0</v>
      </c>
      <c r="J21" s="431">
        <v>0</v>
      </c>
      <c r="K21" s="7">
        <f t="shared" si="0"/>
        <v>0</v>
      </c>
      <c r="L21" s="7" t="str">
        <f t="shared" si="1"/>
        <v>-</v>
      </c>
      <c r="M21" s="7"/>
      <c r="N21" s="4" t="s">
        <v>902</v>
      </c>
      <c r="O21" s="4"/>
      <c r="P21" s="4"/>
      <c r="Q21" s="4"/>
      <c r="R21" s="4"/>
      <c r="S21" s="4"/>
      <c r="T21" s="4"/>
      <c r="U21" s="155" t="str">
        <f t="shared" si="2"/>
        <v/>
      </c>
    </row>
    <row r="22" spans="1:24" customFormat="1" ht="12.6" customHeight="1" thickBot="1" x14ac:dyDescent="0.3">
      <c r="A22" s="345" t="s">
        <v>903</v>
      </c>
      <c r="B22" s="434"/>
      <c r="C22" s="384" t="s">
        <v>13</v>
      </c>
      <c r="D22" s="385"/>
      <c r="E22" s="385"/>
      <c r="F22" s="385"/>
      <c r="G22" s="386"/>
      <c r="H22" s="320">
        <v>17689</v>
      </c>
      <c r="I22" s="320">
        <v>0</v>
      </c>
      <c r="J22" s="431">
        <v>0</v>
      </c>
      <c r="K22" s="7">
        <f t="shared" si="0"/>
        <v>17689</v>
      </c>
      <c r="L22" s="7">
        <f t="shared" si="1"/>
        <v>10</v>
      </c>
      <c r="M22" s="7"/>
      <c r="N22" s="435" t="s">
        <v>904</v>
      </c>
      <c r="O22" s="436"/>
      <c r="P22" s="436"/>
      <c r="Q22" s="436"/>
      <c r="R22" s="436"/>
      <c r="S22" s="436"/>
      <c r="T22" s="436"/>
      <c r="U22" s="155" t="str">
        <f t="shared" si="2"/>
        <v/>
      </c>
      <c r="V22" s="6"/>
      <c r="W22" s="6"/>
      <c r="X22" s="6"/>
    </row>
    <row r="23" spans="1:24" x14ac:dyDescent="0.2">
      <c r="A23" s="307"/>
      <c r="B23" s="383"/>
      <c r="C23" s="385"/>
      <c r="D23" s="385"/>
      <c r="E23" s="385"/>
      <c r="F23" s="385"/>
      <c r="G23" s="386"/>
      <c r="H23" s="328"/>
      <c r="I23" s="328"/>
      <c r="J23" s="432"/>
      <c r="K23" s="7"/>
      <c r="L23" s="7"/>
      <c r="M23" s="7"/>
      <c r="N23" s="6"/>
      <c r="O23" s="6"/>
      <c r="P23" s="6"/>
      <c r="Q23" s="6"/>
      <c r="R23" s="6"/>
      <c r="S23" s="6"/>
      <c r="T23" s="6"/>
      <c r="U23" s="6"/>
      <c r="V23" s="6"/>
      <c r="W23" s="6"/>
      <c r="X23" s="6"/>
    </row>
    <row r="24" spans="1:24" customFormat="1" ht="12.6" customHeight="1" thickBot="1" x14ac:dyDescent="0.3">
      <c r="A24" s="307">
        <v>3</v>
      </c>
      <c r="B24" s="357" t="s">
        <v>905</v>
      </c>
      <c r="C24" s="358"/>
      <c r="D24" s="358"/>
      <c r="E24" s="358"/>
      <c r="F24" s="358"/>
      <c r="G24" s="359"/>
      <c r="H24" s="329"/>
      <c r="I24" s="329"/>
      <c r="J24" s="433"/>
      <c r="K24" s="7"/>
      <c r="L24" s="7"/>
      <c r="M24" s="7"/>
      <c r="N24" s="6"/>
      <c r="O24" s="6"/>
      <c r="P24" s="6"/>
      <c r="Q24" s="6"/>
      <c r="R24" s="6"/>
      <c r="S24" s="6"/>
      <c r="T24" s="6"/>
      <c r="U24" s="6"/>
      <c r="V24" s="6"/>
      <c r="W24" s="6"/>
      <c r="X24" s="6"/>
    </row>
    <row r="25" spans="1:24" customFormat="1" ht="12.6" customHeight="1" thickBot="1" x14ac:dyDescent="0.3">
      <c r="A25" s="307" t="s">
        <v>816</v>
      </c>
      <c r="B25" s="437"/>
      <c r="C25" s="314" t="s">
        <v>732</v>
      </c>
      <c r="D25" s="315"/>
      <c r="E25" s="315"/>
      <c r="F25" s="315"/>
      <c r="G25" s="316"/>
      <c r="H25" s="320">
        <v>-17596</v>
      </c>
      <c r="I25" s="320">
        <v>-17413</v>
      </c>
      <c r="J25" s="431">
        <v>-17413</v>
      </c>
      <c r="K25" s="7">
        <f>H25-I25</f>
        <v>-183</v>
      </c>
      <c r="L25" s="7">
        <f>IF(AND(OR(H25=0,I25&lt;&gt;0),OR(I25=0,H25&lt;&gt;0)),IF((H25+I25+K25&lt;&gt;0),IF(AND(OR(H25&gt;0,I25&lt;0),OR(I25&gt;0,H25&lt;0)),ABS(K25/MIN(ABS(I25),ABS(H25))),10),"-"),10)</f>
        <v>1.050938953655315E-2</v>
      </c>
      <c r="M25" s="7"/>
      <c r="U25" s="156" t="str">
        <f>IF(I25&lt;&gt;J25,A25&amp;" ("&amp;I25&amp;", "&amp;J25&amp;")"&amp;", ","")</f>
        <v/>
      </c>
    </row>
    <row r="26" spans="1:24" customFormat="1" ht="12.6" customHeight="1" thickBot="1" x14ac:dyDescent="0.3">
      <c r="A26" s="307" t="s">
        <v>818</v>
      </c>
      <c r="B26" s="437"/>
      <c r="C26" s="314" t="s">
        <v>906</v>
      </c>
      <c r="D26" s="315"/>
      <c r="E26" s="315"/>
      <c r="F26" s="315"/>
      <c r="G26" s="316"/>
      <c r="H26" s="320">
        <v>23379</v>
      </c>
      <c r="I26" s="320">
        <v>33014</v>
      </c>
      <c r="J26" s="431">
        <v>33014</v>
      </c>
      <c r="K26" s="7">
        <f>H26-I26</f>
        <v>-9635</v>
      </c>
      <c r="L26" s="7">
        <f>IF(AND(OR(H26=0,I26&lt;&gt;0),OR(I26=0,H26&lt;&gt;0)),IF((H26+I26+K26&lt;&gt;0),IF(AND(OR(H26&gt;0,I26&lt;0),OR(I26&gt;0,H26&lt;0)),ABS(K26/MIN(ABS(I26),ABS(H26))),10),"-"),10)</f>
        <v>0.41212198981992387</v>
      </c>
      <c r="M26" s="7"/>
      <c r="U26" s="155" t="str">
        <f>IF(I26&lt;&gt;J26,A26&amp;" ("&amp;I26&amp;", "&amp;J26&amp;")"&amp;", ","")</f>
        <v/>
      </c>
    </row>
    <row r="27" spans="1:24" customFormat="1" ht="12.6" customHeight="1" thickBot="1" x14ac:dyDescent="0.3">
      <c r="A27" s="307" t="s">
        <v>820</v>
      </c>
      <c r="B27" s="437"/>
      <c r="C27" s="314" t="s">
        <v>907</v>
      </c>
      <c r="D27" s="315"/>
      <c r="E27" s="315"/>
      <c r="F27" s="315"/>
      <c r="G27" s="316"/>
      <c r="H27" s="320">
        <v>-18027</v>
      </c>
      <c r="I27" s="320">
        <v>-8034</v>
      </c>
      <c r="J27" s="431">
        <v>-8034</v>
      </c>
      <c r="K27" s="7">
        <f>H27-I27</f>
        <v>-9993</v>
      </c>
      <c r="L27" s="7">
        <f>IF(AND(OR(H27=0,I27&lt;&gt;0),OR(I27=0,H27&lt;&gt;0)),IF((H27+I27+K27&lt;&gt;0),IF(AND(OR(H27&gt;0,I27&lt;0),OR(I27&gt;0,H27&lt;0)),ABS(K27/MIN(ABS(I27),ABS(H27))),10),"-"),10)</f>
        <v>1.2438386855862584</v>
      </c>
      <c r="M27" s="7"/>
      <c r="U27" s="155" t="str">
        <f>IF(I27&lt;&gt;J27,A27&amp;" ("&amp;I27&amp;", "&amp;J27&amp;")"&amp;", ","")</f>
        <v/>
      </c>
    </row>
    <row r="28" spans="1:24" customFormat="1" ht="12.6" customHeight="1" thickBot="1" x14ac:dyDescent="0.3">
      <c r="A28" s="307" t="s">
        <v>822</v>
      </c>
      <c r="B28" s="437"/>
      <c r="C28" s="394" t="s">
        <v>908</v>
      </c>
      <c r="D28" s="315"/>
      <c r="E28" s="315"/>
      <c r="F28" s="315"/>
      <c r="G28" s="316"/>
      <c r="H28" s="320">
        <v>-431</v>
      </c>
      <c r="I28" s="320">
        <v>-4560</v>
      </c>
      <c r="J28" s="431">
        <v>-4560</v>
      </c>
      <c r="K28" s="7">
        <f>H28-I28</f>
        <v>4129</v>
      </c>
      <c r="L28" s="7">
        <f>IF(AND(OR(H28=0,I28&lt;&gt;0),OR(I28=0,H28&lt;&gt;0)),IF((H28+I28+K28&lt;&gt;0),IF(AND(OR(H28&gt;0,I28&lt;0),OR(I28&gt;0,H28&lt;0)),ABS(K28/MIN(ABS(I28),ABS(H28))),10),"-"),10)</f>
        <v>9.5800464037122968</v>
      </c>
      <c r="M28" s="7"/>
      <c r="U28" s="155" t="str">
        <f>IF(I28&lt;&gt;J28,A28&amp;" ("&amp;I28&amp;", "&amp;J28&amp;")"&amp;", ","")</f>
        <v/>
      </c>
    </row>
    <row r="29" spans="1:24" x14ac:dyDescent="0.2">
      <c r="A29" s="307" t="s">
        <v>824</v>
      </c>
      <c r="B29" s="437"/>
      <c r="C29" s="314" t="s">
        <v>909</v>
      </c>
      <c r="D29" s="315"/>
      <c r="E29" s="315"/>
      <c r="F29" s="315"/>
      <c r="G29" s="316"/>
      <c r="H29" s="320">
        <v>-72435</v>
      </c>
      <c r="I29" s="320">
        <v>-89460</v>
      </c>
      <c r="J29" s="431">
        <v>-89460</v>
      </c>
      <c r="K29" s="7">
        <f>H29-I29</f>
        <v>17025</v>
      </c>
      <c r="L29" s="7">
        <f>IF(AND(OR(H29=0,I29&lt;&gt;0),OR(I29=0,H29&lt;&gt;0)),IF((H29+I29+K29&lt;&gt;0),IF(AND(OR(H29&gt;0,I29&lt;0),OR(I29&gt;0,H29&lt;0)),ABS(K29/MIN(ABS(I29),ABS(H29))),10),"-"),10)</f>
        <v>0.23503831020915303</v>
      </c>
      <c r="M29" s="7"/>
    </row>
    <row r="30" spans="1:24" x14ac:dyDescent="0.2">
      <c r="A30" s="307"/>
      <c r="B30" s="437"/>
      <c r="C30" s="314"/>
      <c r="D30" s="315"/>
      <c r="E30" s="315"/>
      <c r="F30" s="315"/>
      <c r="G30" s="316"/>
      <c r="H30" s="438"/>
      <c r="I30" s="438"/>
      <c r="J30" s="438"/>
      <c r="K30" s="7"/>
      <c r="L30" s="7"/>
      <c r="M30" s="7"/>
    </row>
    <row r="31" spans="1:24" x14ac:dyDescent="0.2">
      <c r="A31" s="345">
        <v>4</v>
      </c>
      <c r="B31" s="335" t="s">
        <v>910</v>
      </c>
      <c r="C31" s="360"/>
      <c r="D31" s="361"/>
      <c r="E31" s="361"/>
      <c r="F31" s="361"/>
      <c r="G31" s="362"/>
      <c r="H31" s="349">
        <f>SUM(H6,H9:H22,H25:H29)</f>
        <v>41171</v>
      </c>
      <c r="I31" s="349">
        <f>SUM(I6,I9:I22,I25:I29)</f>
        <v>63088</v>
      </c>
      <c r="J31" s="439">
        <f>SUM(J6,J9:J22,J25:J29)</f>
        <v>63088</v>
      </c>
      <c r="K31" s="7">
        <f>H31-I31</f>
        <v>-21917</v>
      </c>
      <c r="L31" s="7">
        <f>IF(AND(OR(H31=0,I31&lt;&gt;0),OR(I31=0,H31&lt;&gt;0)),IF((H31+I31+K31&lt;&gt;0),IF(AND(OR(H31&gt;0,I31&lt;0),OR(I31&gt;0,H31&lt;0)),ABS(K31/MIN(ABS(I31),ABS(H31))),10),"-"),10)</f>
        <v>0.53234072526778553</v>
      </c>
      <c r="M31" s="7"/>
    </row>
    <row r="32" spans="1:24" x14ac:dyDescent="0.2">
      <c r="A32" s="345"/>
      <c r="B32" s="422"/>
      <c r="C32" s="394"/>
      <c r="D32" s="315"/>
      <c r="E32" s="315"/>
      <c r="F32" s="315"/>
      <c r="G32" s="316"/>
      <c r="H32" s="356"/>
      <c r="I32" s="328"/>
      <c r="J32" s="432"/>
      <c r="K32" s="7"/>
      <c r="L32" s="7"/>
      <c r="M32" s="7"/>
    </row>
    <row r="33" spans="1:21" x14ac:dyDescent="0.2">
      <c r="A33" s="345">
        <v>5</v>
      </c>
      <c r="B33" s="434" t="s">
        <v>911</v>
      </c>
      <c r="C33" s="384"/>
      <c r="D33" s="385"/>
      <c r="E33" s="385"/>
      <c r="F33" s="385"/>
      <c r="G33" s="386"/>
      <c r="H33" s="320">
        <v>-368</v>
      </c>
      <c r="I33" s="320">
        <v>0</v>
      </c>
      <c r="J33" s="393">
        <v>0</v>
      </c>
      <c r="K33" s="7">
        <f>H33-I33</f>
        <v>-368</v>
      </c>
      <c r="L33" s="7">
        <f>IF(AND(OR(H33=0,I33&lt;&gt;0),OR(I33=0,H33&lt;&gt;0)),IF((H33+I33+K33&lt;&gt;0),IF(AND(OR(H33&gt;0,I33&lt;0),OR(I33&gt;0,H33&lt;0)),ABS(K33/MIN(ABS(I33),ABS(H33))),10),"-"),10)</f>
        <v>10</v>
      </c>
      <c r="M33" s="7"/>
    </row>
    <row r="34" spans="1:21" x14ac:dyDescent="0.2">
      <c r="A34" s="307"/>
      <c r="B34" s="437"/>
      <c r="C34" s="314"/>
      <c r="D34" s="315"/>
      <c r="E34" s="315"/>
      <c r="F34" s="315"/>
      <c r="G34" s="316"/>
      <c r="H34" s="356"/>
      <c r="I34" s="328"/>
      <c r="J34" s="432"/>
      <c r="K34" s="7"/>
      <c r="L34" s="7"/>
      <c r="M34" s="7"/>
    </row>
    <row r="35" spans="1:21" x14ac:dyDescent="0.2">
      <c r="A35" s="345">
        <v>6</v>
      </c>
      <c r="B35" s="321" t="s">
        <v>912</v>
      </c>
      <c r="C35" s="361"/>
      <c r="D35" s="361"/>
      <c r="E35" s="361"/>
      <c r="F35" s="361"/>
      <c r="G35" s="362"/>
      <c r="H35" s="349">
        <f>SUM(H31:H33)</f>
        <v>40803</v>
      </c>
      <c r="I35" s="349">
        <f>SUM(I31:I33)</f>
        <v>63088</v>
      </c>
      <c r="J35" s="350">
        <f>SUM(J31:J33)</f>
        <v>63088</v>
      </c>
      <c r="K35" s="7">
        <f>H35-I35</f>
        <v>-22285</v>
      </c>
      <c r="L35" s="7">
        <f>IF(AND(OR(H35=0,I35&lt;&gt;0),OR(I35=0,H35&lt;&gt;0)),IF((H35+I35+K35&lt;&gt;0),IF(AND(OR(H35&gt;0,I35&lt;0),OR(I35&gt;0,H35&lt;0)),ABS(K35/MIN(ABS(I35),ABS(H35))),10),"-"),10)</f>
        <v>0.54616082150822243</v>
      </c>
      <c r="M35" s="7"/>
    </row>
    <row r="36" spans="1:21" x14ac:dyDescent="0.2">
      <c r="A36" s="440"/>
      <c r="B36" s="441"/>
      <c r="C36" s="353"/>
      <c r="D36" s="353"/>
      <c r="E36" s="353"/>
      <c r="F36" s="353"/>
      <c r="G36" s="354"/>
      <c r="H36" s="328"/>
      <c r="I36" s="328"/>
      <c r="J36" s="432"/>
      <c r="K36" s="7"/>
      <c r="L36" s="7"/>
      <c r="M36" s="7"/>
    </row>
    <row r="37" spans="1:21" customFormat="1" ht="12.6" customHeight="1" thickBot="1" x14ac:dyDescent="0.3">
      <c r="A37" s="345">
        <v>7</v>
      </c>
      <c r="B37" s="308" t="s">
        <v>913</v>
      </c>
      <c r="C37" s="309"/>
      <c r="D37" s="309"/>
      <c r="E37" s="309"/>
      <c r="F37" s="309"/>
      <c r="G37" s="310"/>
      <c r="H37" s="329"/>
      <c r="I37" s="329"/>
      <c r="J37" s="433"/>
      <c r="K37" s="7"/>
      <c r="L37" s="7"/>
      <c r="M37" s="7"/>
    </row>
    <row r="38" spans="1:21" customFormat="1" ht="12.6" customHeight="1" thickBot="1" x14ac:dyDescent="0.3">
      <c r="A38" s="345" t="s">
        <v>838</v>
      </c>
      <c r="B38" s="437"/>
      <c r="C38" s="119" t="s">
        <v>914</v>
      </c>
      <c r="D38" s="315"/>
      <c r="E38" s="315"/>
      <c r="F38" s="315"/>
      <c r="G38" s="316"/>
      <c r="H38" s="320">
        <v>968</v>
      </c>
      <c r="I38" s="320">
        <v>5925</v>
      </c>
      <c r="J38" s="431">
        <v>5925</v>
      </c>
      <c r="K38" s="7">
        <f t="shared" ref="K38:K49" si="3">H38-I38</f>
        <v>-4957</v>
      </c>
      <c r="L38" s="7">
        <f t="shared" ref="L38:L49" si="4">IF(AND(OR(H38=0,I38&lt;&gt;0),OR(I38=0,H38&lt;&gt;0)),IF((H38+I38+K38&lt;&gt;0),IF(AND(OR(H38&gt;0,I38&lt;0),OR(I38&gt;0,H38&lt;0)),ABS(K38/MIN(ABS(I38),ABS(H38))),10),"-"),10)</f>
        <v>5.1208677685950414</v>
      </c>
      <c r="M38" s="7"/>
      <c r="U38" s="156" t="str">
        <f>IF(I38&lt;&gt;J38,A38&amp;" ("&amp;I38&amp;", "&amp;J38&amp;")"&amp;", ","")</f>
        <v/>
      </c>
    </row>
    <row r="39" spans="1:21" customFormat="1" ht="12.6" customHeight="1" thickBot="1" x14ac:dyDescent="0.3">
      <c r="A39" s="345" t="s">
        <v>839</v>
      </c>
      <c r="B39" s="437"/>
      <c r="C39" s="35" t="s">
        <v>915</v>
      </c>
      <c r="D39" s="315"/>
      <c r="E39" s="315"/>
      <c r="F39" s="315"/>
      <c r="G39" s="316"/>
      <c r="H39" s="320">
        <v>0</v>
      </c>
      <c r="I39" s="320">
        <v>0</v>
      </c>
      <c r="J39" s="431">
        <v>0</v>
      </c>
      <c r="K39" s="7">
        <f t="shared" si="3"/>
        <v>0</v>
      </c>
      <c r="L39" s="7" t="str">
        <f t="shared" si="4"/>
        <v>-</v>
      </c>
      <c r="M39" s="7"/>
      <c r="U39" s="155" t="str">
        <f>IF(I39&lt;&gt;J39,A39&amp;" ("&amp;I39&amp;", "&amp;J39&amp;")"&amp;", ","")</f>
        <v/>
      </c>
    </row>
    <row r="40" spans="1:21" customFormat="1" ht="12.6" customHeight="1" thickBot="1" x14ac:dyDescent="0.3">
      <c r="A40" s="345" t="s">
        <v>840</v>
      </c>
      <c r="B40" s="437"/>
      <c r="C40" s="35" t="s">
        <v>916</v>
      </c>
      <c r="D40" s="315"/>
      <c r="E40" s="315"/>
      <c r="F40" s="315"/>
      <c r="G40" s="316"/>
      <c r="H40" s="320">
        <v>72435</v>
      </c>
      <c r="I40" s="320">
        <v>89460</v>
      </c>
      <c r="J40" s="431">
        <v>89460</v>
      </c>
      <c r="K40" s="7">
        <f t="shared" si="3"/>
        <v>-17025</v>
      </c>
      <c r="L40" s="7">
        <f t="shared" si="4"/>
        <v>0.23503831020915303</v>
      </c>
      <c r="M40" s="7"/>
    </row>
    <row r="41" spans="1:21" customFormat="1" ht="12.6" customHeight="1" thickBot="1" x14ac:dyDescent="0.3">
      <c r="A41" s="345" t="s">
        <v>841</v>
      </c>
      <c r="B41" s="437"/>
      <c r="C41" s="394" t="s">
        <v>917</v>
      </c>
      <c r="D41" s="315"/>
      <c r="E41" s="315"/>
      <c r="F41" s="315"/>
      <c r="G41" s="316"/>
      <c r="H41" s="320">
        <v>266598</v>
      </c>
      <c r="I41" s="320">
        <v>7715</v>
      </c>
      <c r="J41" s="431">
        <v>7715</v>
      </c>
      <c r="K41" s="7">
        <f t="shared" si="3"/>
        <v>258883</v>
      </c>
      <c r="L41" s="7">
        <f t="shared" si="4"/>
        <v>33.555800388852887</v>
      </c>
      <c r="M41" s="7"/>
      <c r="U41" s="156" t="str">
        <f>IF(I41&lt;&gt;J41,A41&amp;" ("&amp;I41&amp;", "&amp;J41&amp;")"&amp;", ","")</f>
        <v/>
      </c>
    </row>
    <row r="42" spans="1:21" customFormat="1" ht="12.6" customHeight="1" thickBot="1" x14ac:dyDescent="0.3">
      <c r="A42" s="345" t="s">
        <v>842</v>
      </c>
      <c r="B42" s="437"/>
      <c r="C42" s="314" t="s">
        <v>918</v>
      </c>
      <c r="D42" s="315"/>
      <c r="E42" s="315"/>
      <c r="F42" s="315"/>
      <c r="G42" s="316"/>
      <c r="H42" s="320">
        <v>0</v>
      </c>
      <c r="I42" s="320">
        <v>-27411</v>
      </c>
      <c r="J42" s="431">
        <v>-27411</v>
      </c>
      <c r="K42" s="7">
        <f t="shared" si="3"/>
        <v>27411</v>
      </c>
      <c r="L42" s="7">
        <f t="shared" si="4"/>
        <v>10</v>
      </c>
      <c r="M42" s="7"/>
      <c r="U42" s="155" t="str">
        <f>IF(I42&lt;&gt;J42,A42&amp;" ("&amp;I42&amp;", "&amp;J42&amp;")"&amp;", ","")</f>
        <v/>
      </c>
    </row>
    <row r="43" spans="1:21" customFormat="1" ht="12.6" customHeight="1" thickBot="1" x14ac:dyDescent="0.3">
      <c r="A43" s="345" t="s">
        <v>843</v>
      </c>
      <c r="B43" s="437"/>
      <c r="C43" s="314" t="s">
        <v>732</v>
      </c>
      <c r="D43" s="315"/>
      <c r="E43" s="315"/>
      <c r="F43" s="315"/>
      <c r="G43" s="316"/>
      <c r="H43" s="320">
        <v>16916</v>
      </c>
      <c r="I43" s="320">
        <v>17413</v>
      </c>
      <c r="J43" s="431">
        <v>17413</v>
      </c>
      <c r="K43" s="7">
        <f t="shared" si="3"/>
        <v>-497</v>
      </c>
      <c r="L43" s="7">
        <f t="shared" si="4"/>
        <v>2.9380468195790967E-2</v>
      </c>
      <c r="M43" s="7"/>
      <c r="U43" s="155" t="str">
        <f>IF(I43&lt;&gt;J43,A43&amp;" ("&amp;I43&amp;", "&amp;J43&amp;")"&amp;", ","")</f>
        <v/>
      </c>
    </row>
    <row r="44" spans="1:21" customFormat="1" ht="12.6" customHeight="1" thickBot="1" x14ac:dyDescent="0.3">
      <c r="A44" s="345" t="s">
        <v>919</v>
      </c>
      <c r="B44" s="437"/>
      <c r="C44" s="394" t="s">
        <v>920</v>
      </c>
      <c r="D44" s="315"/>
      <c r="E44" s="315"/>
      <c r="F44" s="315"/>
      <c r="G44" s="316"/>
      <c r="H44" s="320">
        <v>-101568</v>
      </c>
      <c r="I44" s="320">
        <v>-137021</v>
      </c>
      <c r="J44" s="431">
        <v>-137021</v>
      </c>
      <c r="K44" s="7">
        <f t="shared" si="3"/>
        <v>35453</v>
      </c>
      <c r="L44" s="7">
        <f t="shared" si="4"/>
        <v>0.34905678954001262</v>
      </c>
      <c r="M44" s="7"/>
    </row>
    <row r="45" spans="1:21" customFormat="1" ht="12.6" customHeight="1" thickBot="1" x14ac:dyDescent="0.3">
      <c r="A45" s="345" t="s">
        <v>921</v>
      </c>
      <c r="B45" s="422"/>
      <c r="C45" s="394" t="s">
        <v>922</v>
      </c>
      <c r="D45" s="333"/>
      <c r="E45" s="333"/>
      <c r="F45" s="333"/>
      <c r="G45" s="334"/>
      <c r="H45" s="320">
        <v>-9257</v>
      </c>
      <c r="I45" s="320">
        <v>0</v>
      </c>
      <c r="J45" s="431">
        <v>0</v>
      </c>
      <c r="K45" s="7">
        <f t="shared" si="3"/>
        <v>-9257</v>
      </c>
      <c r="L45" s="7">
        <f t="shared" si="4"/>
        <v>10</v>
      </c>
      <c r="M45" s="7"/>
      <c r="U45" s="156" t="str">
        <f>IF(I45&lt;&gt;J45,A45&amp;" ("&amp;I45&amp;", "&amp;J45&amp;")"&amp;", ","")</f>
        <v/>
      </c>
    </row>
    <row r="46" spans="1:21" customFormat="1" ht="12.6" customHeight="1" thickBot="1" x14ac:dyDescent="0.3">
      <c r="A46" s="345" t="s">
        <v>923</v>
      </c>
      <c r="B46" s="13"/>
      <c r="C46" s="394" t="s">
        <v>924</v>
      </c>
      <c r="D46" s="315"/>
      <c r="E46" s="315"/>
      <c r="F46" s="16"/>
      <c r="G46" s="386"/>
      <c r="H46" s="320">
        <v>-3055</v>
      </c>
      <c r="I46" s="320">
        <v>-217692</v>
      </c>
      <c r="J46" s="431">
        <v>-217692</v>
      </c>
      <c r="K46" s="7">
        <f t="shared" si="3"/>
        <v>214637</v>
      </c>
      <c r="L46" s="7">
        <f t="shared" si="4"/>
        <v>70.257610474631747</v>
      </c>
      <c r="M46" s="7"/>
      <c r="U46" s="155" t="str">
        <f>IF(I46&lt;&gt;J46,A46&amp;" ("&amp;I46&amp;", "&amp;J46&amp;")"&amp;", ","")</f>
        <v/>
      </c>
    </row>
    <row r="47" spans="1:21" customFormat="1" ht="12.6" customHeight="1" thickBot="1" x14ac:dyDescent="0.3">
      <c r="A47" s="345" t="s">
        <v>925</v>
      </c>
      <c r="B47" s="437"/>
      <c r="C47" s="314" t="s">
        <v>926</v>
      </c>
      <c r="D47" s="315"/>
      <c r="E47" s="315"/>
      <c r="F47" s="315"/>
      <c r="G47" s="316"/>
      <c r="H47" s="320">
        <v>2925</v>
      </c>
      <c r="I47" s="320">
        <v>0</v>
      </c>
      <c r="J47" s="431">
        <v>0</v>
      </c>
      <c r="K47" s="7">
        <f t="shared" si="3"/>
        <v>2925</v>
      </c>
      <c r="L47" s="7">
        <f t="shared" si="4"/>
        <v>10</v>
      </c>
      <c r="M47" s="7"/>
      <c r="N47" s="4" t="s">
        <v>927</v>
      </c>
      <c r="O47" s="41"/>
      <c r="P47" s="41"/>
      <c r="Q47" s="41"/>
      <c r="R47" s="41"/>
      <c r="S47" s="41"/>
      <c r="T47" s="41"/>
      <c r="U47" s="155" t="str">
        <f>IF(I47&lt;&gt;J47,A47&amp;" ("&amp;I47&amp;", "&amp;J47&amp;")"&amp;", ","")</f>
        <v/>
      </c>
    </row>
    <row r="48" spans="1:21" x14ac:dyDescent="0.2">
      <c r="A48" s="345" t="s">
        <v>928</v>
      </c>
      <c r="B48" s="437"/>
      <c r="C48" s="314" t="s">
        <v>13</v>
      </c>
      <c r="D48" s="315"/>
      <c r="E48" s="315"/>
      <c r="F48" s="315"/>
      <c r="G48" s="316"/>
      <c r="H48" s="320">
        <v>-31073</v>
      </c>
      <c r="I48" s="320">
        <v>-1055</v>
      </c>
      <c r="J48" s="431">
        <v>-1055</v>
      </c>
      <c r="K48" s="7">
        <f t="shared" si="3"/>
        <v>-30018</v>
      </c>
      <c r="L48" s="7">
        <f t="shared" si="4"/>
        <v>28.453080568720377</v>
      </c>
      <c r="M48" s="7"/>
      <c r="N48" s="435" t="s">
        <v>929</v>
      </c>
      <c r="O48" s="436"/>
      <c r="P48" s="436"/>
      <c r="Q48" s="436"/>
      <c r="R48" s="436"/>
      <c r="S48" s="436"/>
      <c r="T48" s="436"/>
      <c r="U48" s="436"/>
    </row>
    <row r="49" spans="1:21" x14ac:dyDescent="0.2">
      <c r="A49" s="345" t="s">
        <v>930</v>
      </c>
      <c r="B49" s="335" t="s">
        <v>931</v>
      </c>
      <c r="C49" s="360"/>
      <c r="D49" s="360"/>
      <c r="E49" s="360"/>
      <c r="F49" s="360"/>
      <c r="G49" s="397"/>
      <c r="H49" s="324">
        <f>SUM(H38:H48)</f>
        <v>214889</v>
      </c>
      <c r="I49" s="324">
        <f>SUM(I38:I48)</f>
        <v>-262666</v>
      </c>
      <c r="J49" s="442">
        <f>SUM(J38:J48)</f>
        <v>-262666</v>
      </c>
      <c r="K49" s="7">
        <f t="shared" si="3"/>
        <v>477555</v>
      </c>
      <c r="L49" s="7">
        <f t="shared" si="4"/>
        <v>10</v>
      </c>
      <c r="M49" s="7"/>
    </row>
    <row r="50" spans="1:21" x14ac:dyDescent="0.2">
      <c r="A50" s="443"/>
      <c r="B50" s="325"/>
      <c r="C50" s="326"/>
      <c r="D50" s="326"/>
      <c r="E50" s="326"/>
      <c r="F50" s="326"/>
      <c r="G50" s="327"/>
      <c r="H50" s="444"/>
      <c r="I50" s="444"/>
      <c r="J50" s="445"/>
      <c r="K50" s="7"/>
      <c r="L50" s="7"/>
      <c r="M50" s="7"/>
    </row>
    <row r="51" spans="1:21" customFormat="1" ht="12.6" customHeight="1" thickBot="1" x14ac:dyDescent="0.3">
      <c r="A51" s="345">
        <v>8</v>
      </c>
      <c r="B51" s="308" t="s">
        <v>932</v>
      </c>
      <c r="C51" s="309"/>
      <c r="D51" s="309"/>
      <c r="E51" s="309"/>
      <c r="F51" s="309"/>
      <c r="G51" s="310"/>
      <c r="H51" s="329"/>
      <c r="I51" s="329"/>
      <c r="J51" s="433"/>
      <c r="K51" s="7"/>
      <c r="L51" s="7"/>
      <c r="M51" s="7"/>
    </row>
    <row r="52" spans="1:21" customFormat="1" ht="12.6" customHeight="1" thickBot="1" x14ac:dyDescent="0.3">
      <c r="A52" s="345" t="s">
        <v>846</v>
      </c>
      <c r="B52" s="422"/>
      <c r="C52" s="394" t="s">
        <v>933</v>
      </c>
      <c r="D52" s="333"/>
      <c r="E52" s="333"/>
      <c r="F52" s="333"/>
      <c r="G52" s="334"/>
      <c r="H52" s="320">
        <v>-17161</v>
      </c>
      <c r="I52" s="320">
        <v>-27607</v>
      </c>
      <c r="J52" s="431">
        <v>-27607</v>
      </c>
      <c r="K52" s="7">
        <f t="shared" ref="K52:K62" si="5">H52-I52</f>
        <v>10446</v>
      </c>
      <c r="L52" s="7">
        <f t="shared" ref="L52:L62" si="6">IF(AND(OR(H52=0,I52&lt;&gt;0),OR(I52=0,H52&lt;&gt;0)),IF((H52+I52+K52&lt;&gt;0),IF(AND(OR(H52&gt;0,I52&lt;0),OR(I52&gt;0,H52&lt;0)),ABS(K52/MIN(ABS(I52),ABS(H52))),10),"-"),10)</f>
        <v>0.6087057863760853</v>
      </c>
      <c r="M52" s="7"/>
      <c r="U52" s="156" t="str">
        <f>IF(I52&lt;&gt;J52,A52&amp;" ("&amp;I52&amp;", "&amp;J52&amp;")"&amp;", ","")</f>
        <v/>
      </c>
    </row>
    <row r="53" spans="1:21" customFormat="1" ht="12.6" customHeight="1" thickBot="1" x14ac:dyDescent="0.3">
      <c r="A53" s="345" t="s">
        <v>848</v>
      </c>
      <c r="B53" s="422"/>
      <c r="C53" s="394" t="s">
        <v>934</v>
      </c>
      <c r="D53" s="333"/>
      <c r="E53" s="333"/>
      <c r="F53" s="333"/>
      <c r="G53" s="334"/>
      <c r="H53" s="320">
        <v>-68</v>
      </c>
      <c r="I53" s="320">
        <v>-74</v>
      </c>
      <c r="J53" s="431">
        <v>-74</v>
      </c>
      <c r="K53" s="7">
        <f t="shared" si="5"/>
        <v>6</v>
      </c>
      <c r="L53" s="7">
        <f t="shared" si="6"/>
        <v>8.8235294117647065E-2</v>
      </c>
      <c r="M53" s="7"/>
      <c r="U53" s="155" t="str">
        <f>IF(I53&lt;&gt;J53,A53&amp;" ("&amp;I53&amp;", "&amp;J53&amp;")"&amp;", ","")</f>
        <v/>
      </c>
    </row>
    <row r="54" spans="1:21" customFormat="1" ht="12.6" customHeight="1" thickBot="1" x14ac:dyDescent="0.3">
      <c r="A54" s="345" t="s">
        <v>850</v>
      </c>
      <c r="B54" s="422"/>
      <c r="C54" s="394" t="s">
        <v>935</v>
      </c>
      <c r="D54" s="333"/>
      <c r="E54" s="333"/>
      <c r="F54" s="333"/>
      <c r="G54" s="334"/>
      <c r="H54" s="320">
        <v>18027</v>
      </c>
      <c r="I54" s="320">
        <v>8034</v>
      </c>
      <c r="J54" s="431">
        <v>8034</v>
      </c>
      <c r="K54" s="7">
        <f t="shared" si="5"/>
        <v>9993</v>
      </c>
      <c r="L54" s="7">
        <f t="shared" si="6"/>
        <v>1.2438386855862584</v>
      </c>
      <c r="M54" s="7"/>
      <c r="U54" s="155" t="str">
        <f>IF(I54&lt;&gt;J54,A54&amp;" ("&amp;I54&amp;", "&amp;J54&amp;")"&amp;", ","")</f>
        <v/>
      </c>
    </row>
    <row r="55" spans="1:21" customFormat="1" ht="12.6" customHeight="1" thickBot="1" x14ac:dyDescent="0.3">
      <c r="A55" s="345" t="s">
        <v>936</v>
      </c>
      <c r="B55" s="422"/>
      <c r="C55" s="394" t="s">
        <v>937</v>
      </c>
      <c r="D55" s="333"/>
      <c r="E55" s="333"/>
      <c r="F55" s="333"/>
      <c r="G55" s="334"/>
      <c r="H55" s="320">
        <v>0</v>
      </c>
      <c r="I55" s="320">
        <v>0</v>
      </c>
      <c r="J55" s="393">
        <v>0</v>
      </c>
      <c r="K55" s="7">
        <f t="shared" si="5"/>
        <v>0</v>
      </c>
      <c r="L55" s="7" t="str">
        <f t="shared" si="6"/>
        <v>-</v>
      </c>
      <c r="M55" s="7"/>
    </row>
    <row r="56" spans="1:21" customFormat="1" ht="12.6" customHeight="1" thickBot="1" x14ac:dyDescent="0.3">
      <c r="A56" s="345" t="s">
        <v>938</v>
      </c>
      <c r="B56" s="422"/>
      <c r="C56" s="394" t="s">
        <v>939</v>
      </c>
      <c r="D56" s="333"/>
      <c r="E56" s="333"/>
      <c r="F56" s="333"/>
      <c r="G56" s="334"/>
      <c r="H56" s="320">
        <v>0</v>
      </c>
      <c r="I56" s="320">
        <v>0</v>
      </c>
      <c r="J56" s="431">
        <v>0</v>
      </c>
      <c r="K56" s="7">
        <f t="shared" si="5"/>
        <v>0</v>
      </c>
      <c r="L56" s="7" t="str">
        <f t="shared" si="6"/>
        <v>-</v>
      </c>
      <c r="M56" s="7"/>
      <c r="U56" s="156" t="str">
        <f>IF(I56&lt;&gt;J56,A56&amp;" ("&amp;I56&amp;", "&amp;J56&amp;")"&amp;", ","")</f>
        <v/>
      </c>
    </row>
    <row r="57" spans="1:21" customFormat="1" ht="12.6" customHeight="1" thickBot="1" x14ac:dyDescent="0.3">
      <c r="A57" s="345" t="s">
        <v>940</v>
      </c>
      <c r="B57" s="422"/>
      <c r="C57" s="394" t="s">
        <v>941</v>
      </c>
      <c r="D57" s="333"/>
      <c r="E57" s="333"/>
      <c r="F57" s="333"/>
      <c r="G57" s="334"/>
      <c r="H57" s="320">
        <v>0</v>
      </c>
      <c r="I57" s="320">
        <v>260783</v>
      </c>
      <c r="J57" s="431">
        <v>260783</v>
      </c>
      <c r="K57" s="7">
        <f t="shared" si="5"/>
        <v>-260783</v>
      </c>
      <c r="L57" s="7">
        <f t="shared" si="6"/>
        <v>10</v>
      </c>
      <c r="M57" s="7"/>
      <c r="U57" s="155" t="str">
        <f>IF(I57&lt;&gt;J57,A57&amp;" ("&amp;I57&amp;", "&amp;J57&amp;")"&amp;", ","")</f>
        <v/>
      </c>
    </row>
    <row r="58" spans="1:21" customFormat="1" ht="12.6" customHeight="1" thickBot="1" x14ac:dyDescent="0.3">
      <c r="A58" s="345" t="s">
        <v>942</v>
      </c>
      <c r="B58" s="422"/>
      <c r="C58" s="394" t="s">
        <v>943</v>
      </c>
      <c r="D58" s="333"/>
      <c r="E58" s="333"/>
      <c r="F58" s="333"/>
      <c r="G58" s="334"/>
      <c r="H58" s="320">
        <v>-3146</v>
      </c>
      <c r="I58" s="320">
        <v>-39378</v>
      </c>
      <c r="J58" s="431">
        <v>-39378</v>
      </c>
      <c r="K58" s="7">
        <f t="shared" si="5"/>
        <v>36232</v>
      </c>
      <c r="L58" s="7">
        <f t="shared" si="6"/>
        <v>11.516846789574062</v>
      </c>
      <c r="M58" s="7"/>
      <c r="U58" s="155" t="str">
        <f>IF(I58&lt;&gt;J58,A58&amp;" ("&amp;I58&amp;", "&amp;J58&amp;")"&amp;", ","")</f>
        <v/>
      </c>
    </row>
    <row r="59" spans="1:21" customFormat="1" ht="12.6" customHeight="1" thickBot="1" x14ac:dyDescent="0.3">
      <c r="A59" s="345" t="s">
        <v>944</v>
      </c>
      <c r="B59" s="422"/>
      <c r="C59" s="394" t="s">
        <v>945</v>
      </c>
      <c r="D59" s="333"/>
      <c r="E59" s="333"/>
      <c r="F59" s="333"/>
      <c r="G59" s="334"/>
      <c r="H59" s="320">
        <v>-340</v>
      </c>
      <c r="I59" s="320">
        <v>234</v>
      </c>
      <c r="J59" s="431">
        <v>234</v>
      </c>
      <c r="K59" s="7">
        <f t="shared" si="5"/>
        <v>-574</v>
      </c>
      <c r="L59" s="7">
        <f t="shared" si="6"/>
        <v>10</v>
      </c>
      <c r="M59" s="7"/>
      <c r="U59" s="155" t="str">
        <f>IF(I59&lt;&gt;J59,A59&amp;" ("&amp;I59&amp;", "&amp;J59&amp;")"&amp;", ","")</f>
        <v/>
      </c>
    </row>
    <row r="60" spans="1:21" customFormat="1" ht="12.6" customHeight="1" thickBot="1" x14ac:dyDescent="0.3">
      <c r="A60" s="345" t="s">
        <v>946</v>
      </c>
      <c r="B60" s="13"/>
      <c r="C60" s="394" t="s">
        <v>947</v>
      </c>
      <c r="D60" s="315"/>
      <c r="E60" s="315"/>
      <c r="F60" s="16"/>
      <c r="G60" s="386"/>
      <c r="H60" s="320">
        <v>0</v>
      </c>
      <c r="I60" s="320">
        <v>0</v>
      </c>
      <c r="J60" s="393">
        <v>0</v>
      </c>
      <c r="K60" s="7">
        <f t="shared" si="5"/>
        <v>0</v>
      </c>
      <c r="L60" s="7" t="str">
        <f t="shared" si="6"/>
        <v>-</v>
      </c>
      <c r="M60" s="7"/>
      <c r="N60" s="4" t="s">
        <v>948</v>
      </c>
      <c r="O60" s="41"/>
      <c r="P60" s="41"/>
      <c r="Q60" s="41"/>
      <c r="R60" s="41"/>
      <c r="S60" s="41"/>
      <c r="T60" s="41"/>
      <c r="U60" s="41"/>
    </row>
    <row r="61" spans="1:21" customFormat="1" ht="12.6" customHeight="1" thickBot="1" x14ac:dyDescent="0.3">
      <c r="A61" s="345" t="s">
        <v>949</v>
      </c>
      <c r="B61" s="422"/>
      <c r="C61" s="394" t="s">
        <v>13</v>
      </c>
      <c r="D61" s="333"/>
      <c r="E61" s="333"/>
      <c r="F61" s="333"/>
      <c r="G61" s="334"/>
      <c r="H61" s="320">
        <v>0</v>
      </c>
      <c r="I61" s="320">
        <v>0</v>
      </c>
      <c r="J61" s="431">
        <v>0</v>
      </c>
      <c r="K61" s="7">
        <f t="shared" si="5"/>
        <v>0</v>
      </c>
      <c r="L61" s="7" t="str">
        <f t="shared" si="6"/>
        <v>-</v>
      </c>
      <c r="M61" s="7"/>
      <c r="N61" s="435"/>
      <c r="O61" s="436"/>
      <c r="P61" s="436"/>
      <c r="Q61" s="436"/>
      <c r="R61" s="436"/>
      <c r="S61" s="436"/>
      <c r="T61" s="436"/>
      <c r="U61" s="156" t="str">
        <f>IF(I61&lt;&gt;J61,A61&amp;" ("&amp;I61&amp;", "&amp;J61&amp;")"&amp;", ","")</f>
        <v/>
      </c>
    </row>
    <row r="62" spans="1:21" x14ac:dyDescent="0.2">
      <c r="A62" s="345" t="s">
        <v>950</v>
      </c>
      <c r="B62" s="335" t="s">
        <v>951</v>
      </c>
      <c r="C62" s="360"/>
      <c r="D62" s="360"/>
      <c r="E62" s="360"/>
      <c r="F62" s="360"/>
      <c r="G62" s="397"/>
      <c r="H62" s="349">
        <f>SUM(H52:H61)</f>
        <v>-2688</v>
      </c>
      <c r="I62" s="349">
        <f>SUM(I52:I61)</f>
        <v>201992</v>
      </c>
      <c r="J62" s="446">
        <f>SUM(J52:J61)</f>
        <v>201992</v>
      </c>
      <c r="K62" s="7">
        <f t="shared" si="5"/>
        <v>-204680</v>
      </c>
      <c r="L62" s="7">
        <f t="shared" si="6"/>
        <v>10</v>
      </c>
      <c r="M62" s="7"/>
    </row>
    <row r="63" spans="1:21" x14ac:dyDescent="0.2">
      <c r="A63" s="345"/>
      <c r="B63" s="348"/>
      <c r="C63" s="330"/>
      <c r="D63" s="326"/>
      <c r="E63" s="326"/>
      <c r="F63" s="326"/>
      <c r="G63" s="327"/>
      <c r="H63" s="328"/>
      <c r="I63" s="328"/>
      <c r="J63" s="432"/>
      <c r="K63" s="7"/>
      <c r="L63" s="7"/>
      <c r="M63" s="7"/>
    </row>
    <row r="64" spans="1:21" x14ac:dyDescent="0.2">
      <c r="A64" s="345">
        <v>9</v>
      </c>
      <c r="B64" s="335" t="s">
        <v>952</v>
      </c>
      <c r="C64" s="360"/>
      <c r="D64" s="360"/>
      <c r="E64" s="360"/>
      <c r="F64" s="360"/>
      <c r="G64" s="397"/>
      <c r="H64" s="324">
        <f>H35+H49+H62</f>
        <v>253004</v>
      </c>
      <c r="I64" s="324">
        <f>I35+I49+I62</f>
        <v>2414</v>
      </c>
      <c r="J64" s="442">
        <f>J35+J49+J62</f>
        <v>2414</v>
      </c>
      <c r="K64" s="7">
        <f>H64-I64</f>
        <v>250590</v>
      </c>
      <c r="L64" s="7">
        <f>IF(AND(OR(H64=0,I64&lt;&gt;0),OR(I64=0,H64&lt;&gt;0)),IF((H64+I64+K64&lt;&gt;0),IF(AND(OR(H64&gt;0,I64&lt;0),OR(I64&gt;0,H64&lt;0)),ABS(K64/MIN(ABS(I64),ABS(H64))),10),"-"),10)</f>
        <v>103.80695940347969</v>
      </c>
      <c r="M64" s="7"/>
    </row>
    <row r="65" spans="1:23" customFormat="1" ht="12.6" customHeight="1" thickBot="1" x14ac:dyDescent="0.3">
      <c r="A65" s="345"/>
      <c r="B65" s="186"/>
      <c r="C65" s="333"/>
      <c r="D65" s="315"/>
      <c r="E65" s="315"/>
      <c r="F65" s="36"/>
      <c r="G65" s="386"/>
      <c r="H65" s="37"/>
      <c r="I65" s="37"/>
      <c r="J65" s="62"/>
      <c r="K65" s="7"/>
      <c r="L65" s="7"/>
      <c r="M65" s="7"/>
    </row>
    <row r="66" spans="1:23" customFormat="1" ht="12.6" customHeight="1" thickBot="1" x14ac:dyDescent="0.3">
      <c r="A66" s="345">
        <v>10</v>
      </c>
      <c r="B66" s="335" t="s">
        <v>953</v>
      </c>
      <c r="C66" s="360"/>
      <c r="D66" s="361"/>
      <c r="E66" s="361"/>
      <c r="F66" s="361"/>
      <c r="G66" s="362"/>
      <c r="H66" s="447">
        <f>I70</f>
        <v>238495</v>
      </c>
      <c r="I66" s="8">
        <v>236081</v>
      </c>
      <c r="J66" s="448">
        <v>236081</v>
      </c>
      <c r="K66" s="7">
        <f>H66-I66</f>
        <v>2414</v>
      </c>
      <c r="L66" s="7">
        <f>IF(AND(OR(H66=0,I66&lt;&gt;0),OR(I66=0,H66&lt;&gt;0)),IF((H66+I66+K66&lt;&gt;0),IF(AND(OR(H66&gt;0,I66&lt;0),OR(I66&gt;0,H66&lt;0)),ABS(K66/MIN(ABS(I66),ABS(H66))),10),"-"),10)</f>
        <v>1.022530402700768E-2</v>
      </c>
      <c r="M66" s="7"/>
      <c r="U66" s="156" t="str">
        <f>IF(I66&lt;&gt;J66,A66&amp;" ("&amp;I66&amp;", "&amp;J66&amp;")"&amp;", ","")</f>
        <v/>
      </c>
    </row>
    <row r="67" spans="1:23" x14ac:dyDescent="0.2">
      <c r="A67" s="345"/>
      <c r="B67" s="186"/>
      <c r="C67" s="333"/>
      <c r="D67" s="315"/>
      <c r="E67" s="315"/>
      <c r="F67" s="36"/>
      <c r="G67" s="386"/>
      <c r="H67" s="37"/>
      <c r="I67" s="37"/>
      <c r="J67" s="62"/>
      <c r="K67" s="7"/>
      <c r="L67" s="7"/>
      <c r="M67" s="7"/>
    </row>
    <row r="68" spans="1:23" x14ac:dyDescent="0.2">
      <c r="A68" s="345">
        <v>11</v>
      </c>
      <c r="B68" s="186" t="s">
        <v>954</v>
      </c>
      <c r="C68" s="185"/>
      <c r="D68" s="449"/>
      <c r="E68" s="449"/>
      <c r="F68" s="449"/>
      <c r="G68" s="450"/>
      <c r="H68" s="8">
        <v>0</v>
      </c>
      <c r="I68" s="8">
        <v>0</v>
      </c>
      <c r="J68" s="143">
        <v>0</v>
      </c>
      <c r="K68" s="7">
        <f>H68-I68</f>
        <v>0</v>
      </c>
      <c r="L68" s="7" t="str">
        <f>IF(AND(OR(H68=0,I68&lt;&gt;0),OR(I68=0,H68&lt;&gt;0)),IF((H68+I68+K68&lt;&gt;0),IF(AND(OR(H68&gt;0,I68&lt;0),OR(I68&gt;0,H68&lt;0)),ABS(K68/MIN(ABS(I68),ABS(H68))),10),"-"),10)</f>
        <v>-</v>
      </c>
      <c r="M68" s="7"/>
      <c r="W68" s="451" t="s">
        <v>955</v>
      </c>
    </row>
    <row r="69" spans="1:23" x14ac:dyDescent="0.2">
      <c r="A69" s="345"/>
      <c r="B69" s="186"/>
      <c r="C69" s="333"/>
      <c r="D69" s="315"/>
      <c r="E69" s="315"/>
      <c r="F69" s="36"/>
      <c r="G69" s="386"/>
      <c r="H69" s="37"/>
      <c r="I69" s="37"/>
      <c r="J69" s="62"/>
      <c r="K69" s="7"/>
      <c r="L69" s="7"/>
      <c r="M69" s="7"/>
    </row>
    <row r="70" spans="1:23" x14ac:dyDescent="0.2">
      <c r="A70" s="345">
        <v>12</v>
      </c>
      <c r="B70" s="321" t="s">
        <v>956</v>
      </c>
      <c r="C70" s="361"/>
      <c r="D70" s="361"/>
      <c r="E70" s="361"/>
      <c r="F70" s="361"/>
      <c r="G70" s="362"/>
      <c r="H70" s="447">
        <f>H64+H66+H68</f>
        <v>491499</v>
      </c>
      <c r="I70" s="447">
        <f>I64+I66+I68</f>
        <v>238495</v>
      </c>
      <c r="J70" s="452">
        <f>J64+J66+J68</f>
        <v>238495</v>
      </c>
      <c r="K70" s="7">
        <f>H70-I70</f>
        <v>253004</v>
      </c>
      <c r="L70" s="7">
        <f>IF(AND(OR(H70=0,I70&lt;&gt;0),OR(I70=0,H70&lt;&gt;0)),IF((H70+I70+K70&lt;&gt;0),IF(AND(OR(H70&gt;0,I70&lt;0),OR(I70&gt;0,H70&lt;0)),ABS(K70/MIN(ABS(I70),ABS(H70))),10),"-"),10)</f>
        <v>1.0608356569320112</v>
      </c>
      <c r="M70" s="7"/>
    </row>
  </sheetData>
  <sheetProtection algorithmName="SHA-512" hashValue="QU3LP+UrTYwr3VKAd7eg46jVgycVToC5w29QqmovhjD5Q5+UP3bCwiAvpc0h+9PTcQbHiOwGlU8bzr6qBKzZJg==" saltValue="HbYnz6SWFDklvyY0N54Cjw==" spinCount="100000" sheet="1" objects="1"/>
  <mergeCells count="2">
    <mergeCell ref="B1:C1"/>
    <mergeCell ref="B2:C2"/>
  </mergeCells>
  <conditionalFormatting sqref="I6 I9:I22 I25:I29 I38:I47 I52:I54 I56:I59 I61 I66">
    <cfRule type="expression" dxfId="2" priority="1">
      <formula>I6&lt;&gt;J6</formula>
    </cfRule>
  </conditionalFormatting>
  <dataValidations count="8">
    <dataValidation type="textLength" allowBlank="1" showInputMessage="1" showErrorMessage="1" errorTitle="Maximum 255 text characters" error="Only text up to 255 characters is allowed here." promptTitle="Maximum 255 text characters" prompt=" " sqref="N22:T22 N48:U48">
      <formula1>0</formula1>
      <formula2>255</formula2>
    </dataValidation>
    <dataValidation type="whole" operator="greaterThan" allowBlank="1" showInputMessage="1" showErrorMessage="1" errorTitle="Whole numbers only allowed" error="All monies should be independently rounded to the nearest £1,000." promptTitle="If a value is entered here..." prompt="Please complete the text box to the right (cell N22)." sqref="H22 J22 J33">
      <formula1>-999999999</formula1>
    </dataValidation>
    <dataValidation type="whole" operator="greaterThan" allowBlank="1" showInputMessage="1" showErrorMessage="1" errorTitle="Whole numbers only allowed" error="All monies should be independently rounded to the nearest £1,000." sqref="I6 H9:I12 J10:J12 I13:I21 H14:H19 J14:J19 I25:J29 H26 H28:H29 H33:I33 H38:J48 H52:J53 H54:I60 J56:J61 I61 I66:J66">
      <formula1>-99999999</formula1>
    </dataValidation>
    <dataValidation type="whole" operator="lessThanOrEqual" allowBlank="1" showInputMessage="1" showErrorMessage="1" errorTitle="Negatives Numbers" error="All entered monies should be returned as negative and rounded to the nearest £1,000" promptTitle="If a value is entered here..." prompt="it must be a negative value" sqref="H25">
      <formula1>0</formula1>
    </dataValidation>
    <dataValidation type="whole" operator="greaterThan" allowBlank="1" showInputMessage="1" showErrorMessage="1" errorTitle="Whole numbers only allowed" error="All monies should be independently rounded to the nearest £1,000." sqref="H27">
      <formula1>-999999999</formula1>
    </dataValidation>
    <dataValidation type="whole" operator="greaterThan" allowBlank="1" showInputMessage="1" showErrorMessage="1" errorTitle="Whole numbers only allowed" error="All monies should be independently rounded to the nearest £1,000." promptTitle="If a value is entered here..." prompt="Please complete the text box to right (cell N61)" sqref="H61">
      <formula1>-99999999</formula1>
    </dataValidation>
    <dataValidation type="textLength" operator="lessThan" allowBlank="1" showInputMessage="1" showErrorMessage="1" errorTitle="Maximum 255 text characters" error="Only text up to 255 characters is allowed here." promptTitle="Maximum 255 text characters" prompt=" " sqref="N61:T61">
      <formula1>255</formula1>
    </dataValidation>
    <dataValidation type="whole" operator="greaterThan" allowBlank="1" showInputMessage="1" showErrorMessage="1" errorTitle="Whole numbers only allowed" error="All monies should be independently rounded to the nearest £1,000." promptTitle="If a value is entered here..." prompt="Please complete the text box to the right (cell M22)." sqref="I22">
      <formula1>-999999999</formula1>
    </dataValidation>
  </dataValidations>
  <printOptions headings="1" gridLines="1"/>
  <pageMargins left="0.31496062992125984" right="0.31496062992125984" top="0.74803149606299213" bottom="0.74803149606299213" header="0.31496062992125984" footer="0.31496062992125984"/>
  <pageSetup paperSize="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E65"/>
  <sheetViews>
    <sheetView zoomScale="80" zoomScaleNormal="80" workbookViewId="0">
      <pane xSplit="7" ySplit="4" topLeftCell="H5" activePane="bottomRight" state="frozenSplit"/>
      <selection activeCell="H1" sqref="H1"/>
      <selection pane="topRight"/>
      <selection pane="bottomLeft"/>
      <selection pane="bottomRight" activeCell="H1" sqref="H1"/>
    </sheetView>
  </sheetViews>
  <sheetFormatPr defaultColWidth="9.140625" defaultRowHeight="12.75" x14ac:dyDescent="0.2"/>
  <cols>
    <col min="1" max="1" width="10.28515625" style="9" bestFit="1" customWidth="1"/>
    <col min="2" max="2" width="2.140625" style="5" customWidth="1"/>
    <col min="3" max="3" width="53.7109375" style="5" customWidth="1"/>
    <col min="4" max="7" width="3.140625" style="5" hidden="1" customWidth="1"/>
    <col min="8" max="8" width="16.7109375" style="5" customWidth="1"/>
    <col min="9" max="16" width="14.42578125" style="5" customWidth="1"/>
    <col min="17" max="19" width="16.7109375" style="5" customWidth="1"/>
    <col min="20" max="21" width="19.42578125" style="5" customWidth="1"/>
    <col min="22" max="31" width="16.7109375" style="5" customWidth="1"/>
    <col min="32" max="32" width="9.140625" style="5" customWidth="1"/>
    <col min="33" max="16384" width="9.140625" style="5"/>
  </cols>
  <sheetData>
    <row r="1" spans="1:31" customFormat="1" ht="44.25" customHeight="1" x14ac:dyDescent="0.25">
      <c r="A1" s="409" t="s">
        <v>957</v>
      </c>
      <c r="B1" s="703" t="s">
        <v>958</v>
      </c>
      <c r="C1" s="703"/>
      <c r="D1" s="453"/>
      <c r="E1" s="453"/>
      <c r="F1" s="453"/>
      <c r="G1" s="453"/>
      <c r="H1" s="704" t="s">
        <v>959</v>
      </c>
      <c r="I1" s="705"/>
      <c r="J1" s="705"/>
      <c r="K1" s="705"/>
      <c r="L1" s="705"/>
      <c r="M1" s="705"/>
      <c r="N1" s="705"/>
      <c r="O1" s="705"/>
      <c r="P1" s="705"/>
      <c r="Q1" s="706"/>
      <c r="R1" s="454">
        <v>2</v>
      </c>
      <c r="S1" s="454">
        <v>3</v>
      </c>
      <c r="T1" s="454">
        <v>4</v>
      </c>
      <c r="U1" s="454">
        <v>5</v>
      </c>
      <c r="V1" s="454">
        <v>6</v>
      </c>
      <c r="W1" s="454">
        <v>7</v>
      </c>
      <c r="X1" s="454">
        <v>8</v>
      </c>
      <c r="Y1" s="454">
        <v>9</v>
      </c>
      <c r="Z1" s="454">
        <v>10</v>
      </c>
      <c r="AA1" s="454">
        <v>11</v>
      </c>
      <c r="AB1" s="454">
        <v>12</v>
      </c>
      <c r="AC1" s="454">
        <v>13</v>
      </c>
      <c r="AD1" s="454">
        <v>14</v>
      </c>
      <c r="AE1" s="454">
        <v>15</v>
      </c>
    </row>
    <row r="2" spans="1:31" customFormat="1" ht="15" customHeight="1" x14ac:dyDescent="0.25">
      <c r="A2" s="455"/>
      <c r="B2" s="456"/>
      <c r="C2" s="456"/>
      <c r="D2" s="456"/>
      <c r="E2" s="456"/>
      <c r="F2" s="456"/>
      <c r="G2" s="457"/>
      <c r="H2" s="458" t="s">
        <v>723</v>
      </c>
      <c r="I2" s="458" t="s">
        <v>725</v>
      </c>
      <c r="J2" s="458" t="s">
        <v>727</v>
      </c>
      <c r="K2" s="458" t="s">
        <v>729</v>
      </c>
      <c r="L2" s="458" t="s">
        <v>731</v>
      </c>
      <c r="M2" s="458" t="s">
        <v>733</v>
      </c>
      <c r="N2" s="458" t="s">
        <v>735</v>
      </c>
      <c r="O2" s="458" t="s">
        <v>799</v>
      </c>
      <c r="P2" s="458" t="s">
        <v>306</v>
      </c>
      <c r="Q2" s="458" t="s">
        <v>308</v>
      </c>
      <c r="R2" s="459"/>
      <c r="S2" s="459"/>
      <c r="T2" s="459"/>
      <c r="U2" s="459"/>
      <c r="V2" s="459"/>
      <c r="W2" s="459"/>
      <c r="X2" s="459"/>
      <c r="Y2" s="459"/>
      <c r="Z2" s="459"/>
      <c r="AA2" s="459"/>
      <c r="AB2" s="459"/>
      <c r="AC2" s="459"/>
      <c r="AD2" s="459"/>
      <c r="AE2" s="459"/>
    </row>
    <row r="3" spans="1:31" customFormat="1" ht="94.35" customHeight="1" x14ac:dyDescent="0.25">
      <c r="A3" s="455"/>
      <c r="B3" s="456"/>
      <c r="C3" s="456"/>
      <c r="D3" s="456"/>
      <c r="E3" s="456"/>
      <c r="F3" s="456"/>
      <c r="G3" s="457"/>
      <c r="H3" s="460" t="s">
        <v>960</v>
      </c>
      <c r="I3" s="460" t="s">
        <v>961</v>
      </c>
      <c r="J3" s="460" t="s">
        <v>962</v>
      </c>
      <c r="K3" s="460" t="s">
        <v>963</v>
      </c>
      <c r="L3" s="460" t="s">
        <v>964</v>
      </c>
      <c r="M3" s="460" t="s">
        <v>965</v>
      </c>
      <c r="N3" s="460" t="s">
        <v>966</v>
      </c>
      <c r="O3" s="460" t="s">
        <v>967</v>
      </c>
      <c r="P3" s="460" t="s">
        <v>13</v>
      </c>
      <c r="Q3" s="461" t="s">
        <v>968</v>
      </c>
      <c r="R3" s="462" t="s">
        <v>969</v>
      </c>
      <c r="S3" s="462" t="s">
        <v>970</v>
      </c>
      <c r="T3" s="462" t="s">
        <v>971</v>
      </c>
      <c r="U3" s="462" t="s">
        <v>972</v>
      </c>
      <c r="V3" s="462" t="s">
        <v>973</v>
      </c>
      <c r="W3" s="462" t="s">
        <v>974</v>
      </c>
      <c r="X3" s="462" t="s">
        <v>975</v>
      </c>
      <c r="Y3" s="462" t="s">
        <v>976</v>
      </c>
      <c r="Z3" s="462" t="s">
        <v>977</v>
      </c>
      <c r="AA3" s="462" t="s">
        <v>978</v>
      </c>
      <c r="AB3" s="462" t="s">
        <v>979</v>
      </c>
      <c r="AC3" s="462" t="s">
        <v>980</v>
      </c>
      <c r="AD3" s="462" t="s">
        <v>981</v>
      </c>
      <c r="AE3" s="462" t="s">
        <v>779</v>
      </c>
    </row>
    <row r="4" spans="1:31" s="38" customFormat="1" ht="15" customHeight="1" x14ac:dyDescent="0.25">
      <c r="A4" s="455"/>
      <c r="B4" s="379"/>
      <c r="C4" s="379"/>
      <c r="D4" s="379"/>
      <c r="E4" s="379"/>
      <c r="F4" s="379"/>
      <c r="G4" s="380"/>
      <c r="H4" s="463" t="s">
        <v>717</v>
      </c>
      <c r="I4" s="463" t="s">
        <v>717</v>
      </c>
      <c r="J4" s="463" t="s">
        <v>717</v>
      </c>
      <c r="K4" s="463" t="s">
        <v>717</v>
      </c>
      <c r="L4" s="463" t="s">
        <v>717</v>
      </c>
      <c r="M4" s="463" t="s">
        <v>717</v>
      </c>
      <c r="N4" s="463" t="s">
        <v>717</v>
      </c>
      <c r="O4" s="463" t="s">
        <v>717</v>
      </c>
      <c r="P4" s="463" t="s">
        <v>717</v>
      </c>
      <c r="Q4" s="463" t="s">
        <v>717</v>
      </c>
      <c r="R4" s="463" t="s">
        <v>717</v>
      </c>
      <c r="S4" s="463" t="s">
        <v>717</v>
      </c>
      <c r="T4" s="463" t="s">
        <v>717</v>
      </c>
      <c r="U4" s="463" t="s">
        <v>717</v>
      </c>
      <c r="V4" s="463" t="s">
        <v>717</v>
      </c>
      <c r="W4" s="463" t="s">
        <v>717</v>
      </c>
      <c r="X4" s="463" t="s">
        <v>717</v>
      </c>
      <c r="Y4" s="463" t="s">
        <v>717</v>
      </c>
      <c r="Z4" s="463" t="s">
        <v>717</v>
      </c>
      <c r="AA4" s="463" t="s">
        <v>717</v>
      </c>
      <c r="AB4" s="463" t="s">
        <v>717</v>
      </c>
      <c r="AC4" s="463" t="s">
        <v>717</v>
      </c>
      <c r="AD4" s="463" t="s">
        <v>717</v>
      </c>
      <c r="AE4" s="463" t="s">
        <v>717</v>
      </c>
    </row>
    <row r="5" spans="1:31" customFormat="1" ht="12.75" customHeight="1" x14ac:dyDescent="0.25">
      <c r="A5" s="464">
        <v>1</v>
      </c>
      <c r="B5" s="465" t="s">
        <v>982</v>
      </c>
      <c r="C5" s="466"/>
      <c r="D5" s="466"/>
      <c r="E5" s="466"/>
      <c r="F5" s="466"/>
      <c r="G5" s="467"/>
      <c r="H5" s="311"/>
      <c r="I5" s="311"/>
      <c r="J5" s="311"/>
      <c r="K5" s="311"/>
      <c r="L5" s="311"/>
      <c r="M5" s="311"/>
      <c r="N5" s="311"/>
      <c r="O5" s="311"/>
      <c r="P5" s="311"/>
      <c r="Q5" s="311"/>
      <c r="R5" s="311"/>
      <c r="S5" s="311"/>
      <c r="T5" s="311"/>
      <c r="U5" s="311"/>
      <c r="V5" s="311"/>
      <c r="W5" s="311"/>
      <c r="X5" s="311"/>
      <c r="Y5" s="311"/>
      <c r="Z5" s="311"/>
      <c r="AA5" s="311"/>
      <c r="AB5" s="311"/>
      <c r="AC5" s="311"/>
      <c r="AD5" s="311"/>
      <c r="AE5" s="311"/>
    </row>
    <row r="6" spans="1:31" customFormat="1" ht="12.75" customHeight="1" x14ac:dyDescent="0.25">
      <c r="A6" s="464" t="s">
        <v>723</v>
      </c>
      <c r="B6" s="468"/>
      <c r="C6" s="469" t="s">
        <v>983</v>
      </c>
      <c r="D6" s="470"/>
      <c r="E6" s="470"/>
      <c r="F6" s="470"/>
      <c r="G6" s="471"/>
      <c r="H6" s="317">
        <v>1734</v>
      </c>
      <c r="I6" s="8">
        <v>28265</v>
      </c>
      <c r="J6" s="8">
        <v>16</v>
      </c>
      <c r="K6" s="8">
        <v>1063</v>
      </c>
      <c r="L6" s="8">
        <v>591</v>
      </c>
      <c r="M6" s="8">
        <v>0</v>
      </c>
      <c r="N6" s="8">
        <v>109</v>
      </c>
      <c r="O6" s="8">
        <v>261</v>
      </c>
      <c r="P6" s="8">
        <v>9</v>
      </c>
      <c r="Q6" s="472">
        <f t="shared" ref="Q6:Q50" si="0">SUM(H6:P6)</f>
        <v>32048</v>
      </c>
      <c r="R6" s="8">
        <v>31726</v>
      </c>
      <c r="S6" s="8">
        <v>95</v>
      </c>
      <c r="T6" s="8">
        <v>19161</v>
      </c>
      <c r="U6" s="8">
        <v>0</v>
      </c>
      <c r="V6" s="8">
        <v>2538</v>
      </c>
      <c r="W6" s="8">
        <v>1154</v>
      </c>
      <c r="X6" s="8">
        <v>7905</v>
      </c>
      <c r="Y6" s="8">
        <v>85</v>
      </c>
      <c r="Z6" s="8">
        <v>1515</v>
      </c>
      <c r="AA6" s="8">
        <v>451</v>
      </c>
      <c r="AB6" s="8">
        <v>858</v>
      </c>
      <c r="AC6" s="8">
        <v>1243</v>
      </c>
      <c r="AD6" s="8">
        <v>-129</v>
      </c>
      <c r="AE6" s="472">
        <f t="shared" ref="AE6:AE50" si="1">SUM(Q6:AD6)</f>
        <v>98650</v>
      </c>
    </row>
    <row r="7" spans="1:31" customFormat="1" ht="12.75" customHeight="1" x14ac:dyDescent="0.25">
      <c r="A7" s="464" t="s">
        <v>725</v>
      </c>
      <c r="B7" s="468"/>
      <c r="C7" s="469" t="s">
        <v>984</v>
      </c>
      <c r="D7" s="470"/>
      <c r="E7" s="470"/>
      <c r="F7" s="470"/>
      <c r="G7" s="471"/>
      <c r="H7" s="8">
        <v>18</v>
      </c>
      <c r="I7" s="8">
        <v>0</v>
      </c>
      <c r="J7" s="8">
        <v>0</v>
      </c>
      <c r="K7" s="8">
        <v>0</v>
      </c>
      <c r="L7" s="8">
        <v>0</v>
      </c>
      <c r="M7" s="8">
        <v>0</v>
      </c>
      <c r="N7" s="8">
        <v>0</v>
      </c>
      <c r="O7" s="8">
        <v>0</v>
      </c>
      <c r="P7" s="8">
        <v>0</v>
      </c>
      <c r="Q7" s="472">
        <f t="shared" si="0"/>
        <v>18</v>
      </c>
      <c r="R7" s="8">
        <v>0</v>
      </c>
      <c r="S7" s="8">
        <v>0</v>
      </c>
      <c r="T7" s="8">
        <v>0</v>
      </c>
      <c r="U7" s="8">
        <v>0</v>
      </c>
      <c r="V7" s="8">
        <v>5</v>
      </c>
      <c r="W7" s="8">
        <v>0</v>
      </c>
      <c r="X7" s="8">
        <v>0</v>
      </c>
      <c r="Y7" s="8">
        <v>0</v>
      </c>
      <c r="Z7" s="8">
        <v>0</v>
      </c>
      <c r="AA7" s="8">
        <v>0</v>
      </c>
      <c r="AB7" s="8">
        <v>0</v>
      </c>
      <c r="AC7" s="8">
        <v>0</v>
      </c>
      <c r="AD7" s="8">
        <v>0</v>
      </c>
      <c r="AE7" s="472">
        <f t="shared" si="1"/>
        <v>23</v>
      </c>
    </row>
    <row r="8" spans="1:31" customFormat="1" ht="12.75" customHeight="1" x14ac:dyDescent="0.25">
      <c r="A8" s="464" t="s">
        <v>727</v>
      </c>
      <c r="B8" s="468"/>
      <c r="C8" s="469" t="s">
        <v>985</v>
      </c>
      <c r="D8" s="470"/>
      <c r="E8" s="470"/>
      <c r="F8" s="470"/>
      <c r="G8" s="471"/>
      <c r="H8" s="8">
        <v>0</v>
      </c>
      <c r="I8" s="8">
        <v>-2</v>
      </c>
      <c r="J8" s="8">
        <v>0</v>
      </c>
      <c r="K8" s="8">
        <v>0</v>
      </c>
      <c r="L8" s="8">
        <v>0</v>
      </c>
      <c r="M8" s="8">
        <v>0</v>
      </c>
      <c r="N8" s="8">
        <v>0</v>
      </c>
      <c r="O8" s="8">
        <v>0</v>
      </c>
      <c r="P8" s="8">
        <v>0</v>
      </c>
      <c r="Q8" s="472">
        <f t="shared" si="0"/>
        <v>-2</v>
      </c>
      <c r="R8" s="8">
        <v>145</v>
      </c>
      <c r="S8" s="8">
        <v>0</v>
      </c>
      <c r="T8" s="8">
        <v>548</v>
      </c>
      <c r="U8" s="8">
        <v>0</v>
      </c>
      <c r="V8" s="8">
        <v>0</v>
      </c>
      <c r="W8" s="8">
        <v>15</v>
      </c>
      <c r="X8" s="8">
        <v>0</v>
      </c>
      <c r="Y8" s="8">
        <v>0</v>
      </c>
      <c r="Z8" s="8">
        <v>0</v>
      </c>
      <c r="AA8" s="8">
        <v>0</v>
      </c>
      <c r="AB8" s="8">
        <v>0</v>
      </c>
      <c r="AC8" s="8">
        <v>0</v>
      </c>
      <c r="AD8" s="8">
        <v>0</v>
      </c>
      <c r="AE8" s="472">
        <f t="shared" si="1"/>
        <v>706</v>
      </c>
    </row>
    <row r="9" spans="1:31" customFormat="1" ht="12.75" customHeight="1" x14ac:dyDescent="0.25">
      <c r="A9" s="464" t="s">
        <v>729</v>
      </c>
      <c r="B9" s="468"/>
      <c r="C9" s="469" t="s">
        <v>986</v>
      </c>
      <c r="D9" s="470"/>
      <c r="E9" s="470"/>
      <c r="F9" s="470"/>
      <c r="G9" s="471"/>
      <c r="H9" s="8">
        <v>0</v>
      </c>
      <c r="I9" s="8">
        <v>116</v>
      </c>
      <c r="J9" s="8">
        <v>0</v>
      </c>
      <c r="K9" s="8">
        <v>49</v>
      </c>
      <c r="L9" s="8">
        <v>615</v>
      </c>
      <c r="M9" s="8">
        <v>32</v>
      </c>
      <c r="N9" s="8">
        <v>0</v>
      </c>
      <c r="O9" s="8">
        <v>0</v>
      </c>
      <c r="P9" s="8">
        <v>41</v>
      </c>
      <c r="Q9" s="472">
        <f t="shared" si="0"/>
        <v>853</v>
      </c>
      <c r="R9" s="8">
        <v>940</v>
      </c>
      <c r="S9" s="8">
        <v>0</v>
      </c>
      <c r="T9" s="8">
        <v>35</v>
      </c>
      <c r="U9" s="8">
        <v>0</v>
      </c>
      <c r="V9" s="8">
        <v>0</v>
      </c>
      <c r="W9" s="8">
        <v>102</v>
      </c>
      <c r="X9" s="8">
        <v>111</v>
      </c>
      <c r="Y9" s="8">
        <v>0</v>
      </c>
      <c r="Z9" s="8">
        <v>0</v>
      </c>
      <c r="AA9" s="8">
        <v>-1</v>
      </c>
      <c r="AB9" s="8">
        <v>107</v>
      </c>
      <c r="AC9" s="8">
        <v>0</v>
      </c>
      <c r="AD9" s="8">
        <v>182</v>
      </c>
      <c r="AE9" s="472">
        <f t="shared" si="1"/>
        <v>2329</v>
      </c>
    </row>
    <row r="10" spans="1:31" customFormat="1" ht="12.75" customHeight="1" x14ac:dyDescent="0.25">
      <c r="A10" s="464" t="s">
        <v>731</v>
      </c>
      <c r="B10" s="468"/>
      <c r="C10" s="469" t="s">
        <v>987</v>
      </c>
      <c r="D10" s="470"/>
      <c r="E10" s="470"/>
      <c r="F10" s="470"/>
      <c r="G10" s="471"/>
      <c r="H10" s="8">
        <v>0</v>
      </c>
      <c r="I10" s="8">
        <v>0</v>
      </c>
      <c r="J10" s="8">
        <v>0</v>
      </c>
      <c r="K10" s="8">
        <v>0</v>
      </c>
      <c r="L10" s="8">
        <v>0</v>
      </c>
      <c r="M10" s="8">
        <v>0</v>
      </c>
      <c r="N10" s="8">
        <v>0</v>
      </c>
      <c r="O10" s="8">
        <v>0</v>
      </c>
      <c r="P10" s="8">
        <v>0</v>
      </c>
      <c r="Q10" s="472">
        <f t="shared" si="0"/>
        <v>0</v>
      </c>
      <c r="R10" s="8">
        <v>0</v>
      </c>
      <c r="S10" s="8">
        <v>0</v>
      </c>
      <c r="T10" s="8">
        <v>0</v>
      </c>
      <c r="U10" s="8">
        <v>0</v>
      </c>
      <c r="V10" s="8">
        <v>0</v>
      </c>
      <c r="W10" s="8">
        <v>0</v>
      </c>
      <c r="X10" s="8">
        <v>0</v>
      </c>
      <c r="Y10" s="8">
        <v>0</v>
      </c>
      <c r="Z10" s="8">
        <v>0</v>
      </c>
      <c r="AA10" s="8">
        <v>0</v>
      </c>
      <c r="AB10" s="8">
        <v>0</v>
      </c>
      <c r="AC10" s="8">
        <v>0</v>
      </c>
      <c r="AD10" s="8">
        <v>0</v>
      </c>
      <c r="AE10" s="472">
        <f t="shared" si="1"/>
        <v>0</v>
      </c>
    </row>
    <row r="11" spans="1:31" customFormat="1" ht="12.75" customHeight="1" x14ac:dyDescent="0.25">
      <c r="A11" s="464" t="s">
        <v>733</v>
      </c>
      <c r="B11" s="468"/>
      <c r="C11" s="469" t="s">
        <v>988</v>
      </c>
      <c r="D11" s="470"/>
      <c r="E11" s="470"/>
      <c r="F11" s="470"/>
      <c r="G11" s="471"/>
      <c r="H11" s="8">
        <v>0</v>
      </c>
      <c r="I11" s="8">
        <v>0</v>
      </c>
      <c r="J11" s="8">
        <v>0</v>
      </c>
      <c r="K11" s="8">
        <v>0</v>
      </c>
      <c r="L11" s="8">
        <v>0</v>
      </c>
      <c r="M11" s="8">
        <v>0</v>
      </c>
      <c r="N11" s="8">
        <v>0</v>
      </c>
      <c r="O11" s="8">
        <v>0</v>
      </c>
      <c r="P11" s="8">
        <v>0</v>
      </c>
      <c r="Q11" s="472">
        <f t="shared" si="0"/>
        <v>0</v>
      </c>
      <c r="R11" s="8">
        <v>0</v>
      </c>
      <c r="S11" s="8">
        <v>0</v>
      </c>
      <c r="T11" s="8">
        <v>0</v>
      </c>
      <c r="U11" s="8">
        <v>0</v>
      </c>
      <c r="V11" s="8">
        <v>0</v>
      </c>
      <c r="W11" s="8">
        <v>0</v>
      </c>
      <c r="X11" s="8">
        <v>0</v>
      </c>
      <c r="Y11" s="8">
        <v>0</v>
      </c>
      <c r="Z11" s="8">
        <v>0</v>
      </c>
      <c r="AA11" s="8">
        <v>0</v>
      </c>
      <c r="AB11" s="8">
        <v>0</v>
      </c>
      <c r="AC11" s="8">
        <v>0</v>
      </c>
      <c r="AD11" s="8">
        <v>0</v>
      </c>
      <c r="AE11" s="472">
        <f t="shared" si="1"/>
        <v>0</v>
      </c>
    </row>
    <row r="12" spans="1:31" customFormat="1" ht="12.75" customHeight="1" x14ac:dyDescent="0.25">
      <c r="A12" s="464" t="s">
        <v>735</v>
      </c>
      <c r="B12" s="468"/>
      <c r="C12" s="469" t="s">
        <v>989</v>
      </c>
      <c r="D12" s="470"/>
      <c r="E12" s="470"/>
      <c r="F12" s="470"/>
      <c r="G12" s="471"/>
      <c r="H12" s="8">
        <v>0</v>
      </c>
      <c r="I12" s="8">
        <v>0</v>
      </c>
      <c r="J12" s="8">
        <v>0</v>
      </c>
      <c r="K12" s="8">
        <v>0</v>
      </c>
      <c r="L12" s="8">
        <v>0</v>
      </c>
      <c r="M12" s="8">
        <v>0</v>
      </c>
      <c r="N12" s="8">
        <v>0</v>
      </c>
      <c r="O12" s="8">
        <v>0</v>
      </c>
      <c r="P12" s="8">
        <v>0</v>
      </c>
      <c r="Q12" s="472">
        <f t="shared" si="0"/>
        <v>0</v>
      </c>
      <c r="R12" s="8">
        <v>0</v>
      </c>
      <c r="S12" s="8">
        <v>0</v>
      </c>
      <c r="T12" s="8">
        <v>0</v>
      </c>
      <c r="U12" s="8">
        <v>0</v>
      </c>
      <c r="V12" s="8">
        <v>0</v>
      </c>
      <c r="W12" s="8">
        <v>0</v>
      </c>
      <c r="X12" s="8">
        <v>0</v>
      </c>
      <c r="Y12" s="8">
        <v>0</v>
      </c>
      <c r="Z12" s="8">
        <v>0</v>
      </c>
      <c r="AA12" s="8">
        <v>0</v>
      </c>
      <c r="AB12" s="8">
        <v>0</v>
      </c>
      <c r="AC12" s="8">
        <v>0</v>
      </c>
      <c r="AD12" s="8">
        <v>0</v>
      </c>
      <c r="AE12" s="472">
        <f t="shared" si="1"/>
        <v>0</v>
      </c>
    </row>
    <row r="13" spans="1:31" customFormat="1" ht="12.75" customHeight="1" x14ac:dyDescent="0.25">
      <c r="A13" s="464" t="s">
        <v>799</v>
      </c>
      <c r="B13" s="468"/>
      <c r="C13" s="469" t="s">
        <v>990</v>
      </c>
      <c r="D13" s="470"/>
      <c r="E13" s="470"/>
      <c r="F13" s="470"/>
      <c r="G13" s="471"/>
      <c r="H13" s="8">
        <v>0</v>
      </c>
      <c r="I13" s="8">
        <v>0</v>
      </c>
      <c r="J13" s="8">
        <v>0</v>
      </c>
      <c r="K13" s="8">
        <v>0</v>
      </c>
      <c r="L13" s="8">
        <v>0</v>
      </c>
      <c r="M13" s="8">
        <v>0</v>
      </c>
      <c r="N13" s="8">
        <v>0</v>
      </c>
      <c r="O13" s="8">
        <v>0</v>
      </c>
      <c r="P13" s="8">
        <v>0</v>
      </c>
      <c r="Q13" s="472">
        <f t="shared" si="0"/>
        <v>0</v>
      </c>
      <c r="R13" s="8">
        <v>0</v>
      </c>
      <c r="S13" s="8">
        <v>0</v>
      </c>
      <c r="T13" s="8">
        <v>0</v>
      </c>
      <c r="U13" s="8">
        <v>0</v>
      </c>
      <c r="V13" s="8">
        <v>0</v>
      </c>
      <c r="W13" s="8">
        <v>0</v>
      </c>
      <c r="X13" s="8">
        <v>0</v>
      </c>
      <c r="Y13" s="8">
        <v>0</v>
      </c>
      <c r="Z13" s="8">
        <v>0</v>
      </c>
      <c r="AA13" s="8">
        <v>0</v>
      </c>
      <c r="AB13" s="8">
        <v>0</v>
      </c>
      <c r="AC13" s="8">
        <v>0</v>
      </c>
      <c r="AD13" s="8">
        <v>0</v>
      </c>
      <c r="AE13" s="472">
        <f t="shared" si="1"/>
        <v>0</v>
      </c>
    </row>
    <row r="14" spans="1:31" customFormat="1" ht="12.75" customHeight="1" x14ac:dyDescent="0.25">
      <c r="A14" s="464" t="s">
        <v>306</v>
      </c>
      <c r="B14" s="468"/>
      <c r="C14" s="469" t="s">
        <v>991</v>
      </c>
      <c r="D14" s="470"/>
      <c r="E14" s="470"/>
      <c r="F14" s="470"/>
      <c r="G14" s="471"/>
      <c r="H14" s="8">
        <v>10896</v>
      </c>
      <c r="I14" s="8">
        <v>1546</v>
      </c>
      <c r="J14" s="8">
        <v>105</v>
      </c>
      <c r="K14" s="8">
        <v>-5</v>
      </c>
      <c r="L14" s="8">
        <v>190</v>
      </c>
      <c r="M14" s="8">
        <v>42</v>
      </c>
      <c r="N14" s="8">
        <v>0</v>
      </c>
      <c r="O14" s="8">
        <v>0</v>
      </c>
      <c r="P14" s="8">
        <v>0</v>
      </c>
      <c r="Q14" s="472">
        <f t="shared" si="0"/>
        <v>12774</v>
      </c>
      <c r="R14" s="8">
        <v>1582</v>
      </c>
      <c r="S14" s="8">
        <v>5</v>
      </c>
      <c r="T14" s="8">
        <v>3894</v>
      </c>
      <c r="U14" s="8">
        <v>0</v>
      </c>
      <c r="V14" s="8">
        <v>256</v>
      </c>
      <c r="W14" s="8">
        <v>912</v>
      </c>
      <c r="X14" s="8">
        <v>986</v>
      </c>
      <c r="Y14" s="8">
        <v>0</v>
      </c>
      <c r="Z14" s="8">
        <v>109</v>
      </c>
      <c r="AA14" s="8">
        <v>53</v>
      </c>
      <c r="AB14" s="8">
        <v>5198</v>
      </c>
      <c r="AC14" s="8">
        <v>654</v>
      </c>
      <c r="AD14" s="8">
        <v>269</v>
      </c>
      <c r="AE14" s="472">
        <f t="shared" si="1"/>
        <v>26692</v>
      </c>
    </row>
    <row r="15" spans="1:31" customFormat="1" ht="12.75" customHeight="1" x14ac:dyDescent="0.25">
      <c r="A15" s="464" t="s">
        <v>308</v>
      </c>
      <c r="B15" s="468"/>
      <c r="C15" s="469" t="s">
        <v>992</v>
      </c>
      <c r="D15" s="470"/>
      <c r="E15" s="470"/>
      <c r="F15" s="470"/>
      <c r="G15" s="471"/>
      <c r="H15" s="8">
        <v>0</v>
      </c>
      <c r="I15" s="8">
        <v>0</v>
      </c>
      <c r="J15" s="8">
        <v>0</v>
      </c>
      <c r="K15" s="8">
        <v>0</v>
      </c>
      <c r="L15" s="8">
        <v>0</v>
      </c>
      <c r="M15" s="8">
        <v>0</v>
      </c>
      <c r="N15" s="8">
        <v>0</v>
      </c>
      <c r="O15" s="8">
        <v>0</v>
      </c>
      <c r="P15" s="8">
        <v>0</v>
      </c>
      <c r="Q15" s="472">
        <f t="shared" si="0"/>
        <v>0</v>
      </c>
      <c r="R15" s="8">
        <v>0</v>
      </c>
      <c r="S15" s="8">
        <v>0</v>
      </c>
      <c r="T15" s="8">
        <v>0</v>
      </c>
      <c r="U15" s="8">
        <v>0</v>
      </c>
      <c r="V15" s="8">
        <v>0</v>
      </c>
      <c r="W15" s="8">
        <v>0</v>
      </c>
      <c r="X15" s="8">
        <v>0</v>
      </c>
      <c r="Y15" s="8">
        <v>0</v>
      </c>
      <c r="Z15" s="8">
        <v>0</v>
      </c>
      <c r="AA15" s="8">
        <v>0</v>
      </c>
      <c r="AB15" s="8">
        <v>0</v>
      </c>
      <c r="AC15" s="8">
        <v>0</v>
      </c>
      <c r="AD15" s="8">
        <v>0</v>
      </c>
      <c r="AE15" s="472">
        <f t="shared" si="1"/>
        <v>0</v>
      </c>
    </row>
    <row r="16" spans="1:31" customFormat="1" ht="12.75" customHeight="1" x14ac:dyDescent="0.25">
      <c r="A16" s="464" t="s">
        <v>803</v>
      </c>
      <c r="B16" s="468"/>
      <c r="C16" s="469" t="s">
        <v>993</v>
      </c>
      <c r="D16" s="470"/>
      <c r="E16" s="470"/>
      <c r="F16" s="470"/>
      <c r="G16" s="471"/>
      <c r="H16" s="8">
        <v>289</v>
      </c>
      <c r="I16" s="8">
        <v>-1</v>
      </c>
      <c r="J16" s="8">
        <v>6626</v>
      </c>
      <c r="K16" s="8">
        <v>331</v>
      </c>
      <c r="L16" s="8">
        <v>403</v>
      </c>
      <c r="M16" s="8">
        <v>3</v>
      </c>
      <c r="N16" s="8">
        <v>20</v>
      </c>
      <c r="O16" s="8">
        <v>0</v>
      </c>
      <c r="P16" s="8">
        <v>23</v>
      </c>
      <c r="Q16" s="472">
        <f t="shared" si="0"/>
        <v>7694</v>
      </c>
      <c r="R16" s="8">
        <v>320</v>
      </c>
      <c r="S16" s="8">
        <v>1</v>
      </c>
      <c r="T16" s="8">
        <v>2669</v>
      </c>
      <c r="U16" s="8">
        <v>0</v>
      </c>
      <c r="V16" s="8">
        <v>1527</v>
      </c>
      <c r="W16" s="8">
        <v>494</v>
      </c>
      <c r="X16" s="8">
        <v>2584</v>
      </c>
      <c r="Y16" s="8">
        <v>24</v>
      </c>
      <c r="Z16" s="8">
        <v>0</v>
      </c>
      <c r="AA16" s="8">
        <v>62</v>
      </c>
      <c r="AB16" s="8">
        <v>2</v>
      </c>
      <c r="AC16" s="8">
        <v>73</v>
      </c>
      <c r="AD16" s="8">
        <v>94</v>
      </c>
      <c r="AE16" s="472">
        <f t="shared" si="1"/>
        <v>15544</v>
      </c>
    </row>
    <row r="17" spans="1:31" customFormat="1" ht="12.75" customHeight="1" x14ac:dyDescent="0.25">
      <c r="A17" s="464" t="s">
        <v>994</v>
      </c>
      <c r="B17" s="468"/>
      <c r="C17" s="469" t="s">
        <v>995</v>
      </c>
      <c r="D17" s="470"/>
      <c r="E17" s="470"/>
      <c r="F17" s="470"/>
      <c r="G17" s="471"/>
      <c r="H17" s="8">
        <v>6279</v>
      </c>
      <c r="I17" s="8">
        <v>4602</v>
      </c>
      <c r="J17" s="8">
        <v>1531</v>
      </c>
      <c r="K17" s="8">
        <v>435</v>
      </c>
      <c r="L17" s="8">
        <v>5</v>
      </c>
      <c r="M17" s="8">
        <v>0</v>
      </c>
      <c r="N17" s="8">
        <v>39</v>
      </c>
      <c r="O17" s="8">
        <v>242</v>
      </c>
      <c r="P17" s="8">
        <v>566</v>
      </c>
      <c r="Q17" s="472">
        <f t="shared" si="0"/>
        <v>13699</v>
      </c>
      <c r="R17" s="8">
        <v>20511</v>
      </c>
      <c r="S17" s="8">
        <v>80</v>
      </c>
      <c r="T17" s="8">
        <v>639</v>
      </c>
      <c r="U17" s="8">
        <v>0</v>
      </c>
      <c r="V17" s="8">
        <v>358</v>
      </c>
      <c r="W17" s="8">
        <v>102</v>
      </c>
      <c r="X17" s="8">
        <v>3713</v>
      </c>
      <c r="Y17" s="8">
        <v>31</v>
      </c>
      <c r="Z17" s="8">
        <v>201</v>
      </c>
      <c r="AA17" s="8">
        <v>29</v>
      </c>
      <c r="AB17" s="8">
        <v>378</v>
      </c>
      <c r="AC17" s="8">
        <v>1270</v>
      </c>
      <c r="AD17" s="8">
        <v>4713</v>
      </c>
      <c r="AE17" s="472">
        <f t="shared" si="1"/>
        <v>45724</v>
      </c>
    </row>
    <row r="18" spans="1:31" customFormat="1" ht="12.75" customHeight="1" x14ac:dyDescent="0.25">
      <c r="A18" s="464" t="s">
        <v>996</v>
      </c>
      <c r="B18" s="468"/>
      <c r="C18" s="469" t="s">
        <v>997</v>
      </c>
      <c r="D18" s="470"/>
      <c r="E18" s="470"/>
      <c r="F18" s="470"/>
      <c r="G18" s="471"/>
      <c r="H18" s="8">
        <v>15</v>
      </c>
      <c r="I18" s="8">
        <v>322</v>
      </c>
      <c r="J18" s="8">
        <v>182</v>
      </c>
      <c r="K18" s="8">
        <v>2947</v>
      </c>
      <c r="L18" s="8">
        <v>0</v>
      </c>
      <c r="M18" s="8">
        <v>0</v>
      </c>
      <c r="N18" s="8">
        <v>0</v>
      </c>
      <c r="O18" s="8">
        <v>25</v>
      </c>
      <c r="P18" s="8">
        <v>0</v>
      </c>
      <c r="Q18" s="472">
        <f t="shared" si="0"/>
        <v>3491</v>
      </c>
      <c r="R18" s="8">
        <v>509</v>
      </c>
      <c r="S18" s="8">
        <v>1</v>
      </c>
      <c r="T18" s="8">
        <v>141</v>
      </c>
      <c r="U18" s="8">
        <v>0</v>
      </c>
      <c r="V18" s="8">
        <v>375</v>
      </c>
      <c r="W18" s="8">
        <v>184</v>
      </c>
      <c r="X18" s="8">
        <v>1775</v>
      </c>
      <c r="Y18" s="8">
        <v>0</v>
      </c>
      <c r="Z18" s="8">
        <v>0</v>
      </c>
      <c r="AA18" s="8">
        <v>0</v>
      </c>
      <c r="AB18" s="8">
        <v>0</v>
      </c>
      <c r="AC18" s="8">
        <v>28</v>
      </c>
      <c r="AD18" s="8">
        <v>304</v>
      </c>
      <c r="AE18" s="472">
        <f t="shared" si="1"/>
        <v>6808</v>
      </c>
    </row>
    <row r="19" spans="1:31" customFormat="1" ht="12.75" customHeight="1" x14ac:dyDescent="0.25">
      <c r="A19" s="464" t="s">
        <v>998</v>
      </c>
      <c r="B19" s="468"/>
      <c r="C19" s="469" t="s">
        <v>999</v>
      </c>
      <c r="D19" s="470"/>
      <c r="E19" s="470"/>
      <c r="F19" s="470"/>
      <c r="G19" s="471"/>
      <c r="H19" s="8">
        <v>350</v>
      </c>
      <c r="I19" s="8">
        <v>130</v>
      </c>
      <c r="J19" s="8">
        <v>93</v>
      </c>
      <c r="K19" s="8">
        <v>5143</v>
      </c>
      <c r="L19" s="8">
        <v>0</v>
      </c>
      <c r="M19" s="8">
        <v>0</v>
      </c>
      <c r="N19" s="8">
        <v>6724</v>
      </c>
      <c r="O19" s="8">
        <v>65</v>
      </c>
      <c r="P19" s="8">
        <v>0</v>
      </c>
      <c r="Q19" s="472">
        <f t="shared" si="0"/>
        <v>12505</v>
      </c>
      <c r="R19" s="8">
        <v>438</v>
      </c>
      <c r="S19" s="8">
        <v>2</v>
      </c>
      <c r="T19" s="8">
        <v>923</v>
      </c>
      <c r="U19" s="8">
        <v>0</v>
      </c>
      <c r="V19" s="8">
        <v>122</v>
      </c>
      <c r="W19" s="8">
        <v>8</v>
      </c>
      <c r="X19" s="8">
        <v>4902</v>
      </c>
      <c r="Y19" s="8">
        <v>0</v>
      </c>
      <c r="Z19" s="8">
        <v>0</v>
      </c>
      <c r="AA19" s="8">
        <v>5</v>
      </c>
      <c r="AB19" s="8">
        <v>0</v>
      </c>
      <c r="AC19" s="8">
        <v>23</v>
      </c>
      <c r="AD19" s="8">
        <v>82</v>
      </c>
      <c r="AE19" s="472">
        <f t="shared" si="1"/>
        <v>19010</v>
      </c>
    </row>
    <row r="20" spans="1:31" customFormat="1" ht="12.75" customHeight="1" x14ac:dyDescent="0.25">
      <c r="A20" s="464" t="s">
        <v>1000</v>
      </c>
      <c r="B20" s="468"/>
      <c r="C20" s="469" t="s">
        <v>1001</v>
      </c>
      <c r="D20" s="470"/>
      <c r="E20" s="470"/>
      <c r="F20" s="470"/>
      <c r="G20" s="471"/>
      <c r="H20" s="8">
        <v>0</v>
      </c>
      <c r="I20" s="8">
        <v>0</v>
      </c>
      <c r="J20" s="8">
        <v>0</v>
      </c>
      <c r="K20" s="8">
        <v>0</v>
      </c>
      <c r="L20" s="8">
        <v>0</v>
      </c>
      <c r="M20" s="8">
        <v>0</v>
      </c>
      <c r="N20" s="8">
        <v>0</v>
      </c>
      <c r="O20" s="8">
        <v>0</v>
      </c>
      <c r="P20" s="8">
        <v>0</v>
      </c>
      <c r="Q20" s="472">
        <f t="shared" si="0"/>
        <v>0</v>
      </c>
      <c r="R20" s="8">
        <v>0</v>
      </c>
      <c r="S20" s="8">
        <v>0</v>
      </c>
      <c r="T20" s="8">
        <v>0</v>
      </c>
      <c r="U20" s="8">
        <v>0</v>
      </c>
      <c r="V20" s="8">
        <v>0</v>
      </c>
      <c r="W20" s="8">
        <v>0</v>
      </c>
      <c r="X20" s="8">
        <v>0</v>
      </c>
      <c r="Y20" s="8">
        <v>0</v>
      </c>
      <c r="Z20" s="8">
        <v>0</v>
      </c>
      <c r="AA20" s="8">
        <v>0</v>
      </c>
      <c r="AB20" s="8">
        <v>0</v>
      </c>
      <c r="AC20" s="8">
        <v>0</v>
      </c>
      <c r="AD20" s="8">
        <v>0</v>
      </c>
      <c r="AE20" s="472">
        <f t="shared" si="1"/>
        <v>0</v>
      </c>
    </row>
    <row r="21" spans="1:31" customFormat="1" ht="12.75" customHeight="1" x14ac:dyDescent="0.25">
      <c r="A21" s="464" t="s">
        <v>1002</v>
      </c>
      <c r="B21" s="468"/>
      <c r="C21" s="469" t="s">
        <v>1003</v>
      </c>
      <c r="D21" s="470"/>
      <c r="E21" s="470"/>
      <c r="F21" s="470"/>
      <c r="G21" s="471"/>
      <c r="H21" s="8">
        <v>3</v>
      </c>
      <c r="I21" s="8">
        <v>0</v>
      </c>
      <c r="J21" s="8">
        <v>68</v>
      </c>
      <c r="K21" s="8">
        <v>969</v>
      </c>
      <c r="L21" s="8">
        <v>0</v>
      </c>
      <c r="M21" s="8">
        <v>0</v>
      </c>
      <c r="N21" s="8">
        <v>0</v>
      </c>
      <c r="O21" s="8">
        <v>0</v>
      </c>
      <c r="P21" s="8">
        <v>0</v>
      </c>
      <c r="Q21" s="472">
        <f t="shared" si="0"/>
        <v>1040</v>
      </c>
      <c r="R21" s="8">
        <v>75</v>
      </c>
      <c r="S21" s="8">
        <v>0</v>
      </c>
      <c r="T21" s="8">
        <v>9</v>
      </c>
      <c r="U21" s="8">
        <v>0</v>
      </c>
      <c r="V21" s="8">
        <v>51</v>
      </c>
      <c r="W21" s="8">
        <v>122</v>
      </c>
      <c r="X21" s="8">
        <v>233</v>
      </c>
      <c r="Y21" s="8">
        <v>0</v>
      </c>
      <c r="Z21" s="8">
        <v>0</v>
      </c>
      <c r="AA21" s="8">
        <v>15</v>
      </c>
      <c r="AB21" s="8">
        <v>0</v>
      </c>
      <c r="AC21" s="8">
        <v>12</v>
      </c>
      <c r="AD21" s="8">
        <v>132</v>
      </c>
      <c r="AE21" s="472">
        <f t="shared" si="1"/>
        <v>1689</v>
      </c>
    </row>
    <row r="22" spans="1:31" customFormat="1" ht="12.75" customHeight="1" x14ac:dyDescent="0.25">
      <c r="A22" s="464" t="s">
        <v>1004</v>
      </c>
      <c r="B22" s="468"/>
      <c r="C22" s="469" t="s">
        <v>1005</v>
      </c>
      <c r="D22" s="470"/>
      <c r="E22" s="470"/>
      <c r="F22" s="470"/>
      <c r="G22" s="471"/>
      <c r="H22" s="8">
        <v>0</v>
      </c>
      <c r="I22" s="8">
        <v>0</v>
      </c>
      <c r="J22" s="8">
        <v>0</v>
      </c>
      <c r="K22" s="8">
        <v>0</v>
      </c>
      <c r="L22" s="8">
        <v>0</v>
      </c>
      <c r="M22" s="8">
        <v>0</v>
      </c>
      <c r="N22" s="8">
        <v>0</v>
      </c>
      <c r="O22" s="8">
        <v>0</v>
      </c>
      <c r="P22" s="8">
        <v>0</v>
      </c>
      <c r="Q22" s="472">
        <f t="shared" si="0"/>
        <v>0</v>
      </c>
      <c r="R22" s="8">
        <v>0</v>
      </c>
      <c r="S22" s="8">
        <v>0</v>
      </c>
      <c r="T22" s="8">
        <v>0</v>
      </c>
      <c r="U22" s="8">
        <v>0</v>
      </c>
      <c r="V22" s="8">
        <v>0</v>
      </c>
      <c r="W22" s="8">
        <v>0</v>
      </c>
      <c r="X22" s="8">
        <v>0</v>
      </c>
      <c r="Y22" s="8">
        <v>0</v>
      </c>
      <c r="Z22" s="8">
        <v>0</v>
      </c>
      <c r="AA22" s="8">
        <v>0</v>
      </c>
      <c r="AB22" s="8">
        <v>0</v>
      </c>
      <c r="AC22" s="8">
        <v>0</v>
      </c>
      <c r="AD22" s="8">
        <v>0</v>
      </c>
      <c r="AE22" s="472">
        <f t="shared" si="1"/>
        <v>0</v>
      </c>
    </row>
    <row r="23" spans="1:31" customFormat="1" ht="12.75" customHeight="1" x14ac:dyDescent="0.25">
      <c r="A23" s="464" t="s">
        <v>1006</v>
      </c>
      <c r="B23" s="468"/>
      <c r="C23" s="469" t="s">
        <v>1007</v>
      </c>
      <c r="D23" s="470"/>
      <c r="E23" s="470"/>
      <c r="F23" s="470"/>
      <c r="G23" s="471"/>
      <c r="H23" s="8">
        <v>296</v>
      </c>
      <c r="I23" s="8">
        <v>0</v>
      </c>
      <c r="J23" s="8">
        <v>45</v>
      </c>
      <c r="K23" s="8">
        <v>1414</v>
      </c>
      <c r="L23" s="8">
        <v>122</v>
      </c>
      <c r="M23" s="8">
        <v>0</v>
      </c>
      <c r="N23" s="8">
        <v>0</v>
      </c>
      <c r="O23" s="8">
        <v>0</v>
      </c>
      <c r="P23" s="8">
        <v>0</v>
      </c>
      <c r="Q23" s="472">
        <f t="shared" si="0"/>
        <v>1877</v>
      </c>
      <c r="R23" s="8">
        <v>398</v>
      </c>
      <c r="S23" s="8">
        <v>55</v>
      </c>
      <c r="T23" s="8">
        <v>70</v>
      </c>
      <c r="U23" s="8">
        <v>0</v>
      </c>
      <c r="V23" s="8">
        <v>6</v>
      </c>
      <c r="W23" s="8">
        <v>-408</v>
      </c>
      <c r="X23" s="8">
        <v>798</v>
      </c>
      <c r="Y23" s="8">
        <v>0</v>
      </c>
      <c r="Z23" s="8">
        <v>1</v>
      </c>
      <c r="AA23" s="8">
        <v>85</v>
      </c>
      <c r="AB23" s="8">
        <v>0</v>
      </c>
      <c r="AC23" s="8">
        <v>0</v>
      </c>
      <c r="AD23" s="8">
        <v>542</v>
      </c>
      <c r="AE23" s="472">
        <f t="shared" si="1"/>
        <v>3424</v>
      </c>
    </row>
    <row r="24" spans="1:31" customFormat="1" ht="12.75" customHeight="1" x14ac:dyDescent="0.25">
      <c r="A24" s="464" t="s">
        <v>1008</v>
      </c>
      <c r="B24" s="468"/>
      <c r="C24" s="469" t="s">
        <v>1009</v>
      </c>
      <c r="D24" s="470"/>
      <c r="E24" s="470"/>
      <c r="F24" s="470"/>
      <c r="G24" s="471"/>
      <c r="H24" s="8">
        <v>124</v>
      </c>
      <c r="I24" s="8">
        <v>44</v>
      </c>
      <c r="J24" s="8">
        <v>0</v>
      </c>
      <c r="K24" s="8">
        <v>4012</v>
      </c>
      <c r="L24" s="8">
        <v>0</v>
      </c>
      <c r="M24" s="8">
        <v>0</v>
      </c>
      <c r="N24" s="8">
        <v>-11</v>
      </c>
      <c r="O24" s="8">
        <v>0</v>
      </c>
      <c r="P24" s="8">
        <v>0</v>
      </c>
      <c r="Q24" s="472">
        <f t="shared" si="0"/>
        <v>4169</v>
      </c>
      <c r="R24" s="8">
        <v>293</v>
      </c>
      <c r="S24" s="8">
        <v>0</v>
      </c>
      <c r="T24" s="8">
        <v>852</v>
      </c>
      <c r="U24" s="8">
        <v>0</v>
      </c>
      <c r="V24" s="8">
        <v>873</v>
      </c>
      <c r="W24" s="8">
        <v>123</v>
      </c>
      <c r="X24" s="8">
        <v>760</v>
      </c>
      <c r="Y24" s="8">
        <v>0</v>
      </c>
      <c r="Z24" s="8">
        <v>37</v>
      </c>
      <c r="AA24" s="8">
        <v>-1</v>
      </c>
      <c r="AB24" s="8">
        <v>0</v>
      </c>
      <c r="AC24" s="8">
        <v>88</v>
      </c>
      <c r="AD24" s="8">
        <v>64</v>
      </c>
      <c r="AE24" s="472">
        <f t="shared" si="1"/>
        <v>7258</v>
      </c>
    </row>
    <row r="25" spans="1:31" customFormat="1" ht="12.75" customHeight="1" x14ac:dyDescent="0.25">
      <c r="A25" s="464" t="s">
        <v>1010</v>
      </c>
      <c r="B25" s="468"/>
      <c r="C25" s="469" t="s">
        <v>1011</v>
      </c>
      <c r="D25" s="470"/>
      <c r="E25" s="470"/>
      <c r="F25" s="470"/>
      <c r="G25" s="471"/>
      <c r="H25" s="8">
        <v>-3</v>
      </c>
      <c r="I25" s="8">
        <v>1</v>
      </c>
      <c r="J25" s="8">
        <v>2</v>
      </c>
      <c r="K25" s="8">
        <v>2641</v>
      </c>
      <c r="L25" s="8">
        <v>0</v>
      </c>
      <c r="M25" s="8">
        <v>0</v>
      </c>
      <c r="N25" s="8">
        <v>0</v>
      </c>
      <c r="O25" s="8">
        <v>0</v>
      </c>
      <c r="P25" s="8">
        <v>0</v>
      </c>
      <c r="Q25" s="472">
        <f t="shared" si="0"/>
        <v>2641</v>
      </c>
      <c r="R25" s="8">
        <v>-29</v>
      </c>
      <c r="S25" s="8">
        <v>0</v>
      </c>
      <c r="T25" s="8">
        <v>184</v>
      </c>
      <c r="U25" s="8">
        <v>0</v>
      </c>
      <c r="V25" s="8">
        <v>235</v>
      </c>
      <c r="W25" s="8">
        <v>-70</v>
      </c>
      <c r="X25" s="8">
        <v>1260</v>
      </c>
      <c r="Y25" s="8">
        <v>0</v>
      </c>
      <c r="Z25" s="8">
        <v>61</v>
      </c>
      <c r="AA25" s="8">
        <v>92</v>
      </c>
      <c r="AB25" s="8">
        <v>0</v>
      </c>
      <c r="AC25" s="8">
        <v>0</v>
      </c>
      <c r="AD25" s="8">
        <v>13</v>
      </c>
      <c r="AE25" s="472">
        <f t="shared" si="1"/>
        <v>4387</v>
      </c>
    </row>
    <row r="26" spans="1:31" customFormat="1" ht="12.75" customHeight="1" x14ac:dyDescent="0.25">
      <c r="A26" s="464" t="s">
        <v>1012</v>
      </c>
      <c r="B26" s="468"/>
      <c r="C26" s="469" t="s">
        <v>1013</v>
      </c>
      <c r="D26" s="470"/>
      <c r="E26" s="470"/>
      <c r="F26" s="470"/>
      <c r="G26" s="471"/>
      <c r="H26" s="8">
        <v>94</v>
      </c>
      <c r="I26" s="8">
        <v>131</v>
      </c>
      <c r="J26" s="8">
        <v>0</v>
      </c>
      <c r="K26" s="8">
        <v>5190</v>
      </c>
      <c r="L26" s="8">
        <v>289</v>
      </c>
      <c r="M26" s="8">
        <v>12</v>
      </c>
      <c r="N26" s="8">
        <v>0</v>
      </c>
      <c r="O26" s="8">
        <v>29</v>
      </c>
      <c r="P26" s="8">
        <v>221</v>
      </c>
      <c r="Q26" s="472">
        <f t="shared" si="0"/>
        <v>5966</v>
      </c>
      <c r="R26" s="8">
        <v>936</v>
      </c>
      <c r="S26" s="8">
        <v>0</v>
      </c>
      <c r="T26" s="8">
        <v>20514</v>
      </c>
      <c r="U26" s="8">
        <v>0</v>
      </c>
      <c r="V26" s="8">
        <v>457</v>
      </c>
      <c r="W26" s="8">
        <v>250</v>
      </c>
      <c r="X26" s="8">
        <v>3801</v>
      </c>
      <c r="Y26" s="8">
        <v>0</v>
      </c>
      <c r="Z26" s="8">
        <v>190</v>
      </c>
      <c r="AA26" s="8">
        <v>17</v>
      </c>
      <c r="AB26" s="8">
        <v>87</v>
      </c>
      <c r="AC26" s="8">
        <v>2317</v>
      </c>
      <c r="AD26" s="8">
        <v>956</v>
      </c>
      <c r="AE26" s="472">
        <f t="shared" si="1"/>
        <v>35491</v>
      </c>
    </row>
    <row r="27" spans="1:31" customFormat="1" ht="12.75" customHeight="1" x14ac:dyDescent="0.25">
      <c r="A27" s="464" t="s">
        <v>1014</v>
      </c>
      <c r="B27" s="468"/>
      <c r="C27" s="469" t="s">
        <v>1015</v>
      </c>
      <c r="D27" s="470"/>
      <c r="E27" s="470"/>
      <c r="F27" s="470"/>
      <c r="G27" s="471"/>
      <c r="H27" s="8">
        <v>0</v>
      </c>
      <c r="I27" s="8">
        <v>48</v>
      </c>
      <c r="J27" s="8">
        <v>65</v>
      </c>
      <c r="K27" s="8">
        <v>1076</v>
      </c>
      <c r="L27" s="8">
        <v>0</v>
      </c>
      <c r="M27" s="8">
        <v>0</v>
      </c>
      <c r="N27" s="8">
        <v>3</v>
      </c>
      <c r="O27" s="8">
        <v>7</v>
      </c>
      <c r="P27" s="8">
        <v>0</v>
      </c>
      <c r="Q27" s="472">
        <f t="shared" si="0"/>
        <v>1199</v>
      </c>
      <c r="R27" s="8">
        <v>878</v>
      </c>
      <c r="S27" s="8">
        <v>0</v>
      </c>
      <c r="T27" s="8">
        <v>51</v>
      </c>
      <c r="U27" s="8">
        <v>0</v>
      </c>
      <c r="V27" s="8">
        <v>77</v>
      </c>
      <c r="W27" s="8">
        <v>16</v>
      </c>
      <c r="X27" s="8">
        <v>771</v>
      </c>
      <c r="Y27" s="8">
        <v>0</v>
      </c>
      <c r="Z27" s="8">
        <v>21</v>
      </c>
      <c r="AA27" s="8">
        <v>4</v>
      </c>
      <c r="AB27" s="8">
        <v>0</v>
      </c>
      <c r="AC27" s="8">
        <v>7</v>
      </c>
      <c r="AD27" s="8">
        <v>6</v>
      </c>
      <c r="AE27" s="472">
        <f t="shared" si="1"/>
        <v>3030</v>
      </c>
    </row>
    <row r="28" spans="1:31" customFormat="1" ht="12.75" customHeight="1" x14ac:dyDescent="0.25">
      <c r="A28" s="464" t="s">
        <v>1016</v>
      </c>
      <c r="B28" s="468"/>
      <c r="C28" s="469" t="s">
        <v>1017</v>
      </c>
      <c r="D28" s="470"/>
      <c r="E28" s="470"/>
      <c r="F28" s="470"/>
      <c r="G28" s="471"/>
      <c r="H28" s="8">
        <v>0</v>
      </c>
      <c r="I28" s="8">
        <v>0</v>
      </c>
      <c r="J28" s="8">
        <v>0</v>
      </c>
      <c r="K28" s="8">
        <v>1</v>
      </c>
      <c r="L28" s="8">
        <v>103</v>
      </c>
      <c r="M28" s="8">
        <v>0</v>
      </c>
      <c r="N28" s="8">
        <v>0</v>
      </c>
      <c r="O28" s="8">
        <v>0</v>
      </c>
      <c r="P28" s="8">
        <v>0</v>
      </c>
      <c r="Q28" s="472">
        <f t="shared" si="0"/>
        <v>104</v>
      </c>
      <c r="R28" s="8">
        <v>91</v>
      </c>
      <c r="S28" s="8">
        <v>0</v>
      </c>
      <c r="T28" s="8">
        <v>65</v>
      </c>
      <c r="U28" s="8">
        <v>0</v>
      </c>
      <c r="V28" s="8">
        <v>0</v>
      </c>
      <c r="W28" s="8">
        <v>-11</v>
      </c>
      <c r="X28" s="8">
        <v>4</v>
      </c>
      <c r="Y28" s="8">
        <v>0</v>
      </c>
      <c r="Z28" s="8">
        <v>0</v>
      </c>
      <c r="AA28" s="8">
        <v>0</v>
      </c>
      <c r="AB28" s="8">
        <v>0</v>
      </c>
      <c r="AC28" s="8">
        <v>0</v>
      </c>
      <c r="AD28" s="8">
        <v>0</v>
      </c>
      <c r="AE28" s="472">
        <f t="shared" si="1"/>
        <v>253</v>
      </c>
    </row>
    <row r="29" spans="1:31" customFormat="1" ht="12.75" customHeight="1" x14ac:dyDescent="0.25">
      <c r="A29" s="464" t="s">
        <v>1018</v>
      </c>
      <c r="B29" s="468"/>
      <c r="C29" s="469" t="s">
        <v>1019</v>
      </c>
      <c r="D29" s="470"/>
      <c r="E29" s="470"/>
      <c r="F29" s="470"/>
      <c r="G29" s="471"/>
      <c r="H29" s="8">
        <v>200</v>
      </c>
      <c r="I29" s="8">
        <v>42</v>
      </c>
      <c r="J29" s="8">
        <v>309</v>
      </c>
      <c r="K29" s="8">
        <v>24</v>
      </c>
      <c r="L29" s="8">
        <v>2312</v>
      </c>
      <c r="M29" s="8">
        <v>33</v>
      </c>
      <c r="N29" s="8">
        <v>0</v>
      </c>
      <c r="O29" s="8">
        <v>0</v>
      </c>
      <c r="P29" s="8">
        <v>2</v>
      </c>
      <c r="Q29" s="472">
        <f t="shared" si="0"/>
        <v>2922</v>
      </c>
      <c r="R29" s="8">
        <v>110</v>
      </c>
      <c r="S29" s="8">
        <v>0</v>
      </c>
      <c r="T29" s="8">
        <v>113</v>
      </c>
      <c r="U29" s="8">
        <v>0</v>
      </c>
      <c r="V29" s="8">
        <v>3</v>
      </c>
      <c r="W29" s="8">
        <v>5</v>
      </c>
      <c r="X29" s="8">
        <v>270</v>
      </c>
      <c r="Y29" s="8">
        <v>0</v>
      </c>
      <c r="Z29" s="8">
        <v>0</v>
      </c>
      <c r="AA29" s="8">
        <v>432</v>
      </c>
      <c r="AB29" s="8">
        <v>24</v>
      </c>
      <c r="AC29" s="8">
        <v>0</v>
      </c>
      <c r="AD29" s="8">
        <v>1</v>
      </c>
      <c r="AE29" s="472">
        <f t="shared" si="1"/>
        <v>3880</v>
      </c>
    </row>
    <row r="30" spans="1:31" customFormat="1" ht="12.75" customHeight="1" x14ac:dyDescent="0.25">
      <c r="A30" s="464" t="s">
        <v>1020</v>
      </c>
      <c r="B30" s="468"/>
      <c r="C30" s="469" t="s">
        <v>1021</v>
      </c>
      <c r="D30" s="470"/>
      <c r="E30" s="470"/>
      <c r="F30" s="470"/>
      <c r="G30" s="471"/>
      <c r="H30" s="8">
        <v>0</v>
      </c>
      <c r="I30" s="8">
        <v>0</v>
      </c>
      <c r="J30" s="8">
        <v>0</v>
      </c>
      <c r="K30" s="8">
        <v>0</v>
      </c>
      <c r="L30" s="8">
        <v>559</v>
      </c>
      <c r="M30" s="8">
        <v>-1</v>
      </c>
      <c r="N30" s="8">
        <v>0</v>
      </c>
      <c r="O30" s="8">
        <v>0</v>
      </c>
      <c r="P30" s="8">
        <v>53</v>
      </c>
      <c r="Q30" s="472">
        <f t="shared" si="0"/>
        <v>611</v>
      </c>
      <c r="R30" s="8">
        <v>-2</v>
      </c>
      <c r="S30" s="8">
        <v>0</v>
      </c>
      <c r="T30" s="8">
        <v>135</v>
      </c>
      <c r="U30" s="8">
        <v>0</v>
      </c>
      <c r="V30" s="8">
        <v>0</v>
      </c>
      <c r="W30" s="8">
        <v>0</v>
      </c>
      <c r="X30" s="8">
        <v>497</v>
      </c>
      <c r="Y30" s="8">
        <v>0</v>
      </c>
      <c r="Z30" s="8">
        <v>0</v>
      </c>
      <c r="AA30" s="8">
        <v>12</v>
      </c>
      <c r="AB30" s="8">
        <v>0</v>
      </c>
      <c r="AC30" s="8">
        <v>5</v>
      </c>
      <c r="AD30" s="8">
        <v>33</v>
      </c>
      <c r="AE30" s="472">
        <f t="shared" si="1"/>
        <v>1291</v>
      </c>
    </row>
    <row r="31" spans="1:31" customFormat="1" ht="12.75" customHeight="1" x14ac:dyDescent="0.25">
      <c r="A31" s="464" t="s">
        <v>1022</v>
      </c>
      <c r="B31" s="468"/>
      <c r="C31" s="469" t="s">
        <v>1023</v>
      </c>
      <c r="D31" s="470"/>
      <c r="E31" s="470"/>
      <c r="F31" s="470"/>
      <c r="G31" s="471"/>
      <c r="H31" s="8">
        <v>0</v>
      </c>
      <c r="I31" s="8">
        <v>0</v>
      </c>
      <c r="J31" s="8">
        <v>0</v>
      </c>
      <c r="K31" s="8">
        <v>0</v>
      </c>
      <c r="L31" s="8">
        <v>0</v>
      </c>
      <c r="M31" s="8">
        <v>10</v>
      </c>
      <c r="N31" s="8">
        <v>0</v>
      </c>
      <c r="O31" s="8">
        <v>0</v>
      </c>
      <c r="P31" s="8">
        <v>0</v>
      </c>
      <c r="Q31" s="472">
        <f t="shared" si="0"/>
        <v>10</v>
      </c>
      <c r="R31" s="8">
        <v>24</v>
      </c>
      <c r="S31" s="8">
        <v>0</v>
      </c>
      <c r="T31" s="8">
        <v>47</v>
      </c>
      <c r="U31" s="8">
        <v>0</v>
      </c>
      <c r="V31" s="8">
        <v>0</v>
      </c>
      <c r="W31" s="8">
        <v>0</v>
      </c>
      <c r="X31" s="8">
        <v>0</v>
      </c>
      <c r="Y31" s="8">
        <v>0</v>
      </c>
      <c r="Z31" s="8">
        <v>0</v>
      </c>
      <c r="AA31" s="8">
        <v>0</v>
      </c>
      <c r="AB31" s="8">
        <v>0</v>
      </c>
      <c r="AC31" s="8">
        <v>0</v>
      </c>
      <c r="AD31" s="8">
        <v>0</v>
      </c>
      <c r="AE31" s="472">
        <f t="shared" si="1"/>
        <v>81</v>
      </c>
    </row>
    <row r="32" spans="1:31" customFormat="1" ht="12.75" customHeight="1" x14ac:dyDescent="0.25">
      <c r="A32" s="464" t="s">
        <v>1024</v>
      </c>
      <c r="B32" s="468"/>
      <c r="C32" s="469" t="s">
        <v>1025</v>
      </c>
      <c r="D32" s="470"/>
      <c r="E32" s="470"/>
      <c r="F32" s="470"/>
      <c r="G32" s="471"/>
      <c r="H32" s="8">
        <v>0</v>
      </c>
      <c r="I32" s="8">
        <v>0</v>
      </c>
      <c r="J32" s="8">
        <v>0</v>
      </c>
      <c r="K32" s="8">
        <v>212</v>
      </c>
      <c r="L32" s="8">
        <v>180</v>
      </c>
      <c r="M32" s="8">
        <v>52</v>
      </c>
      <c r="N32" s="8">
        <v>0</v>
      </c>
      <c r="O32" s="8">
        <v>0</v>
      </c>
      <c r="P32" s="8">
        <v>188</v>
      </c>
      <c r="Q32" s="472">
        <f t="shared" si="0"/>
        <v>632</v>
      </c>
      <c r="R32" s="8">
        <v>186</v>
      </c>
      <c r="S32" s="8">
        <v>0</v>
      </c>
      <c r="T32" s="8">
        <v>14</v>
      </c>
      <c r="U32" s="8">
        <v>0</v>
      </c>
      <c r="V32" s="8">
        <v>0</v>
      </c>
      <c r="W32" s="8">
        <v>-15</v>
      </c>
      <c r="X32" s="8">
        <v>914</v>
      </c>
      <c r="Y32" s="8">
        <v>0</v>
      </c>
      <c r="Z32" s="8">
        <v>0</v>
      </c>
      <c r="AA32" s="8">
        <v>0</v>
      </c>
      <c r="AB32" s="8">
        <v>0</v>
      </c>
      <c r="AC32" s="8">
        <v>0</v>
      </c>
      <c r="AD32" s="8">
        <v>0</v>
      </c>
      <c r="AE32" s="472">
        <f t="shared" si="1"/>
        <v>1731</v>
      </c>
    </row>
    <row r="33" spans="1:31" customFormat="1" ht="12.75" customHeight="1" x14ac:dyDescent="0.25">
      <c r="A33" s="464" t="s">
        <v>1026</v>
      </c>
      <c r="B33" s="468"/>
      <c r="C33" s="469" t="s">
        <v>1027</v>
      </c>
      <c r="D33" s="470"/>
      <c r="E33" s="470"/>
      <c r="F33" s="470"/>
      <c r="G33" s="471"/>
      <c r="H33" s="8">
        <v>0</v>
      </c>
      <c r="I33" s="8">
        <v>0</v>
      </c>
      <c r="J33" s="8">
        <v>-16</v>
      </c>
      <c r="K33" s="8">
        <v>0</v>
      </c>
      <c r="L33" s="8">
        <v>360</v>
      </c>
      <c r="M33" s="8">
        <v>0</v>
      </c>
      <c r="N33" s="8">
        <v>0</v>
      </c>
      <c r="O33" s="8">
        <v>0</v>
      </c>
      <c r="P33" s="8">
        <v>0</v>
      </c>
      <c r="Q33" s="472">
        <f t="shared" si="0"/>
        <v>344</v>
      </c>
      <c r="R33" s="8">
        <v>3</v>
      </c>
      <c r="S33" s="8">
        <v>0</v>
      </c>
      <c r="T33" s="8">
        <v>0</v>
      </c>
      <c r="U33" s="8">
        <v>0</v>
      </c>
      <c r="V33" s="8">
        <v>0</v>
      </c>
      <c r="W33" s="8">
        <v>18</v>
      </c>
      <c r="X33" s="8">
        <v>281</v>
      </c>
      <c r="Y33" s="8">
        <v>0</v>
      </c>
      <c r="Z33" s="8">
        <v>0</v>
      </c>
      <c r="AA33" s="8">
        <v>0</v>
      </c>
      <c r="AB33" s="8">
        <v>0</v>
      </c>
      <c r="AC33" s="8">
        <v>0</v>
      </c>
      <c r="AD33" s="8">
        <v>0</v>
      </c>
      <c r="AE33" s="472">
        <f t="shared" si="1"/>
        <v>646</v>
      </c>
    </row>
    <row r="34" spans="1:31" customFormat="1" ht="12.75" customHeight="1" x14ac:dyDescent="0.25">
      <c r="A34" s="464" t="s">
        <v>1028</v>
      </c>
      <c r="B34" s="468"/>
      <c r="C34" s="469" t="s">
        <v>1029</v>
      </c>
      <c r="D34" s="470"/>
      <c r="E34" s="470"/>
      <c r="F34" s="470"/>
      <c r="G34" s="471"/>
      <c r="H34" s="8">
        <v>0</v>
      </c>
      <c r="I34" s="8">
        <v>0</v>
      </c>
      <c r="J34" s="8">
        <v>0</v>
      </c>
      <c r="K34" s="8">
        <v>0</v>
      </c>
      <c r="L34" s="8">
        <v>745</v>
      </c>
      <c r="M34" s="8">
        <v>0</v>
      </c>
      <c r="N34" s="8">
        <v>0</v>
      </c>
      <c r="O34" s="8">
        <v>0</v>
      </c>
      <c r="P34" s="8">
        <v>9</v>
      </c>
      <c r="Q34" s="472">
        <f t="shared" si="0"/>
        <v>754</v>
      </c>
      <c r="R34" s="8">
        <v>14</v>
      </c>
      <c r="S34" s="8">
        <v>0</v>
      </c>
      <c r="T34" s="8">
        <v>0</v>
      </c>
      <c r="U34" s="8">
        <v>0</v>
      </c>
      <c r="V34" s="8">
        <v>0</v>
      </c>
      <c r="W34" s="8">
        <v>0</v>
      </c>
      <c r="X34" s="8">
        <v>-3</v>
      </c>
      <c r="Y34" s="8">
        <v>0</v>
      </c>
      <c r="Z34" s="8">
        <v>0</v>
      </c>
      <c r="AA34" s="8">
        <v>0</v>
      </c>
      <c r="AB34" s="8">
        <v>0</v>
      </c>
      <c r="AC34" s="8">
        <v>0</v>
      </c>
      <c r="AD34" s="8">
        <v>0</v>
      </c>
      <c r="AE34" s="472">
        <f t="shared" si="1"/>
        <v>765</v>
      </c>
    </row>
    <row r="35" spans="1:31" customFormat="1" ht="12.75" customHeight="1" x14ac:dyDescent="0.25">
      <c r="A35" s="464" t="s">
        <v>1030</v>
      </c>
      <c r="B35" s="468"/>
      <c r="C35" s="469" t="s">
        <v>1031</v>
      </c>
      <c r="D35" s="470"/>
      <c r="E35" s="470"/>
      <c r="F35" s="470"/>
      <c r="G35" s="471"/>
      <c r="H35" s="8">
        <v>0</v>
      </c>
      <c r="I35" s="8">
        <v>0</v>
      </c>
      <c r="J35" s="8">
        <v>0</v>
      </c>
      <c r="K35" s="8">
        <v>7</v>
      </c>
      <c r="L35" s="8">
        <v>710</v>
      </c>
      <c r="M35" s="8">
        <v>30</v>
      </c>
      <c r="N35" s="8">
        <v>0</v>
      </c>
      <c r="O35" s="8">
        <v>0</v>
      </c>
      <c r="P35" s="8">
        <v>209</v>
      </c>
      <c r="Q35" s="472">
        <f t="shared" si="0"/>
        <v>956</v>
      </c>
      <c r="R35" s="8">
        <v>425</v>
      </c>
      <c r="S35" s="8">
        <v>0</v>
      </c>
      <c r="T35" s="8">
        <v>1020</v>
      </c>
      <c r="U35" s="8">
        <v>0</v>
      </c>
      <c r="V35" s="8">
        <v>0</v>
      </c>
      <c r="W35" s="8">
        <v>5</v>
      </c>
      <c r="X35" s="8">
        <v>0</v>
      </c>
      <c r="Y35" s="8">
        <v>0</v>
      </c>
      <c r="Z35" s="8">
        <v>0</v>
      </c>
      <c r="AA35" s="8">
        <v>0</v>
      </c>
      <c r="AB35" s="8">
        <v>0</v>
      </c>
      <c r="AC35" s="8">
        <v>0</v>
      </c>
      <c r="AD35" s="8">
        <v>2</v>
      </c>
      <c r="AE35" s="472">
        <f t="shared" si="1"/>
        <v>2408</v>
      </c>
    </row>
    <row r="36" spans="1:31" customFormat="1" ht="12.75" customHeight="1" x14ac:dyDescent="0.25">
      <c r="A36" s="464" t="s">
        <v>1032</v>
      </c>
      <c r="B36" s="468"/>
      <c r="C36" s="469" t="s">
        <v>1033</v>
      </c>
      <c r="D36" s="470"/>
      <c r="E36" s="470"/>
      <c r="F36" s="470"/>
      <c r="G36" s="471"/>
      <c r="H36" s="8">
        <v>0</v>
      </c>
      <c r="I36" s="8">
        <v>20</v>
      </c>
      <c r="J36" s="8">
        <v>0</v>
      </c>
      <c r="K36" s="8">
        <v>0</v>
      </c>
      <c r="L36" s="8">
        <v>40</v>
      </c>
      <c r="M36" s="8">
        <v>0</v>
      </c>
      <c r="N36" s="8">
        <v>0</v>
      </c>
      <c r="O36" s="8">
        <v>0</v>
      </c>
      <c r="P36" s="8">
        <v>27</v>
      </c>
      <c r="Q36" s="472">
        <f t="shared" si="0"/>
        <v>87</v>
      </c>
      <c r="R36" s="8">
        <v>83</v>
      </c>
      <c r="S36" s="8">
        <v>0</v>
      </c>
      <c r="T36" s="8">
        <v>5</v>
      </c>
      <c r="U36" s="8">
        <v>0</v>
      </c>
      <c r="V36" s="8">
        <v>6</v>
      </c>
      <c r="W36" s="8">
        <v>-3</v>
      </c>
      <c r="X36" s="8">
        <v>162</v>
      </c>
      <c r="Y36" s="8">
        <v>0</v>
      </c>
      <c r="Z36" s="8">
        <v>0</v>
      </c>
      <c r="AA36" s="8">
        <v>19</v>
      </c>
      <c r="AB36" s="8">
        <v>0</v>
      </c>
      <c r="AC36" s="8">
        <v>0</v>
      </c>
      <c r="AD36" s="8">
        <v>0</v>
      </c>
      <c r="AE36" s="472">
        <f t="shared" si="1"/>
        <v>359</v>
      </c>
    </row>
    <row r="37" spans="1:31" customFormat="1" ht="12.75" customHeight="1" x14ac:dyDescent="0.25">
      <c r="A37" s="464" t="s">
        <v>1034</v>
      </c>
      <c r="B37" s="468"/>
      <c r="C37" s="469" t="s">
        <v>1035</v>
      </c>
      <c r="D37" s="470"/>
      <c r="E37" s="470"/>
      <c r="F37" s="470"/>
      <c r="G37" s="471"/>
      <c r="H37" s="8">
        <v>257</v>
      </c>
      <c r="I37" s="8">
        <v>0</v>
      </c>
      <c r="J37" s="8">
        <v>26</v>
      </c>
      <c r="K37" s="8">
        <v>328</v>
      </c>
      <c r="L37" s="8">
        <v>452</v>
      </c>
      <c r="M37" s="8">
        <v>0</v>
      </c>
      <c r="N37" s="8">
        <v>0</v>
      </c>
      <c r="O37" s="8">
        <v>0</v>
      </c>
      <c r="P37" s="8">
        <v>192</v>
      </c>
      <c r="Q37" s="472">
        <f t="shared" si="0"/>
        <v>1255</v>
      </c>
      <c r="R37" s="8">
        <v>92</v>
      </c>
      <c r="S37" s="8">
        <v>0</v>
      </c>
      <c r="T37" s="8">
        <v>563</v>
      </c>
      <c r="U37" s="8">
        <v>0</v>
      </c>
      <c r="V37" s="8">
        <v>0</v>
      </c>
      <c r="W37" s="8">
        <v>-49</v>
      </c>
      <c r="X37" s="8">
        <v>544</v>
      </c>
      <c r="Y37" s="8">
        <v>0</v>
      </c>
      <c r="Z37" s="8">
        <v>0</v>
      </c>
      <c r="AA37" s="8">
        <v>0</v>
      </c>
      <c r="AB37" s="8">
        <v>0</v>
      </c>
      <c r="AC37" s="8">
        <v>0</v>
      </c>
      <c r="AD37" s="8">
        <v>10</v>
      </c>
      <c r="AE37" s="472">
        <f t="shared" si="1"/>
        <v>2415</v>
      </c>
    </row>
    <row r="38" spans="1:31" customFormat="1" ht="12.75" customHeight="1" x14ac:dyDescent="0.25">
      <c r="A38" s="464" t="s">
        <v>1036</v>
      </c>
      <c r="B38" s="468"/>
      <c r="C38" s="469" t="s">
        <v>1037</v>
      </c>
      <c r="D38" s="470"/>
      <c r="E38" s="470"/>
      <c r="F38" s="470"/>
      <c r="G38" s="471"/>
      <c r="H38" s="8">
        <v>0</v>
      </c>
      <c r="I38" s="8">
        <v>0</v>
      </c>
      <c r="J38" s="8">
        <v>12</v>
      </c>
      <c r="K38" s="8">
        <v>46</v>
      </c>
      <c r="L38" s="8">
        <v>265</v>
      </c>
      <c r="M38" s="8">
        <v>36</v>
      </c>
      <c r="N38" s="8">
        <v>0</v>
      </c>
      <c r="O38" s="8">
        <v>0</v>
      </c>
      <c r="P38" s="8">
        <v>16</v>
      </c>
      <c r="Q38" s="472">
        <f t="shared" si="0"/>
        <v>375</v>
      </c>
      <c r="R38" s="8">
        <v>16</v>
      </c>
      <c r="S38" s="8">
        <v>0</v>
      </c>
      <c r="T38" s="8">
        <v>-25</v>
      </c>
      <c r="U38" s="8">
        <v>0</v>
      </c>
      <c r="V38" s="8">
        <v>6</v>
      </c>
      <c r="W38" s="8">
        <v>-1</v>
      </c>
      <c r="X38" s="8">
        <v>108</v>
      </c>
      <c r="Y38" s="8">
        <v>0</v>
      </c>
      <c r="Z38" s="8">
        <v>32</v>
      </c>
      <c r="AA38" s="8">
        <v>124</v>
      </c>
      <c r="AB38" s="8">
        <v>-21</v>
      </c>
      <c r="AC38" s="8">
        <v>527</v>
      </c>
      <c r="AD38" s="8">
        <v>9</v>
      </c>
      <c r="AE38" s="472">
        <f t="shared" si="1"/>
        <v>1150</v>
      </c>
    </row>
    <row r="39" spans="1:31" customFormat="1" ht="12.75" customHeight="1" x14ac:dyDescent="0.25">
      <c r="A39" s="464" t="s">
        <v>1038</v>
      </c>
      <c r="B39" s="468"/>
      <c r="C39" s="469" t="s">
        <v>1039</v>
      </c>
      <c r="D39" s="470"/>
      <c r="E39" s="470"/>
      <c r="F39" s="470"/>
      <c r="G39" s="471"/>
      <c r="H39" s="8">
        <v>0</v>
      </c>
      <c r="I39" s="8">
        <v>0</v>
      </c>
      <c r="J39" s="8">
        <v>0</v>
      </c>
      <c r="K39" s="8">
        <v>0</v>
      </c>
      <c r="L39" s="8">
        <v>0</v>
      </c>
      <c r="M39" s="8">
        <v>0</v>
      </c>
      <c r="N39" s="8">
        <v>0</v>
      </c>
      <c r="O39" s="8">
        <v>0</v>
      </c>
      <c r="P39" s="8">
        <v>0</v>
      </c>
      <c r="Q39" s="472">
        <f t="shared" si="0"/>
        <v>0</v>
      </c>
      <c r="R39" s="8">
        <v>0</v>
      </c>
      <c r="S39" s="8">
        <v>0</v>
      </c>
      <c r="T39" s="8">
        <v>0</v>
      </c>
      <c r="U39" s="8">
        <v>0</v>
      </c>
      <c r="V39" s="8">
        <v>0</v>
      </c>
      <c r="W39" s="8">
        <v>0</v>
      </c>
      <c r="X39" s="8">
        <v>0</v>
      </c>
      <c r="Y39" s="8">
        <v>0</v>
      </c>
      <c r="Z39" s="8">
        <v>0</v>
      </c>
      <c r="AA39" s="8">
        <v>0</v>
      </c>
      <c r="AB39" s="8">
        <v>0</v>
      </c>
      <c r="AC39" s="8">
        <v>0</v>
      </c>
      <c r="AD39" s="8">
        <v>0</v>
      </c>
      <c r="AE39" s="472">
        <f t="shared" si="1"/>
        <v>0</v>
      </c>
    </row>
    <row r="40" spans="1:31" customFormat="1" ht="12.75" customHeight="1" x14ac:dyDescent="0.25">
      <c r="A40" s="464" t="s">
        <v>1040</v>
      </c>
      <c r="B40" s="468"/>
      <c r="C40" s="469" t="s">
        <v>1041</v>
      </c>
      <c r="D40" s="470"/>
      <c r="E40" s="470"/>
      <c r="F40" s="470"/>
      <c r="G40" s="471"/>
      <c r="H40" s="8">
        <v>0</v>
      </c>
      <c r="I40" s="8">
        <v>0</v>
      </c>
      <c r="J40" s="8">
        <v>2</v>
      </c>
      <c r="K40" s="8">
        <v>2</v>
      </c>
      <c r="L40" s="8">
        <v>402</v>
      </c>
      <c r="M40" s="8">
        <v>68</v>
      </c>
      <c r="N40" s="8">
        <v>0</v>
      </c>
      <c r="O40" s="8">
        <v>0</v>
      </c>
      <c r="P40" s="8">
        <v>0</v>
      </c>
      <c r="Q40" s="472">
        <f t="shared" si="0"/>
        <v>474</v>
      </c>
      <c r="R40" s="8">
        <v>298</v>
      </c>
      <c r="S40" s="8">
        <v>0</v>
      </c>
      <c r="T40" s="8">
        <v>409</v>
      </c>
      <c r="U40" s="8">
        <v>0</v>
      </c>
      <c r="V40" s="8">
        <v>0</v>
      </c>
      <c r="W40" s="8">
        <v>122</v>
      </c>
      <c r="X40" s="8">
        <v>147</v>
      </c>
      <c r="Y40" s="8">
        <v>0</v>
      </c>
      <c r="Z40" s="8">
        <v>0</v>
      </c>
      <c r="AA40" s="8">
        <v>0</v>
      </c>
      <c r="AB40" s="8">
        <v>0</v>
      </c>
      <c r="AC40" s="8">
        <v>2</v>
      </c>
      <c r="AD40" s="8">
        <v>0</v>
      </c>
      <c r="AE40" s="472">
        <f t="shared" si="1"/>
        <v>1452</v>
      </c>
    </row>
    <row r="41" spans="1:31" customFormat="1" ht="12.75" customHeight="1" x14ac:dyDescent="0.25">
      <c r="A41" s="464" t="s">
        <v>1042</v>
      </c>
      <c r="B41" s="468"/>
      <c r="C41" s="469" t="s">
        <v>1043</v>
      </c>
      <c r="D41" s="470"/>
      <c r="E41" s="470"/>
      <c r="F41" s="470"/>
      <c r="G41" s="471"/>
      <c r="H41" s="8">
        <v>0</v>
      </c>
      <c r="I41" s="8">
        <v>0</v>
      </c>
      <c r="J41" s="8">
        <v>0</v>
      </c>
      <c r="K41" s="8">
        <v>0</v>
      </c>
      <c r="L41" s="8">
        <v>0</v>
      </c>
      <c r="M41" s="8">
        <v>0</v>
      </c>
      <c r="N41" s="8">
        <v>0</v>
      </c>
      <c r="O41" s="8">
        <v>0</v>
      </c>
      <c r="P41" s="8">
        <v>0</v>
      </c>
      <c r="Q41" s="472">
        <f t="shared" si="0"/>
        <v>0</v>
      </c>
      <c r="R41" s="8">
        <v>0</v>
      </c>
      <c r="S41" s="8">
        <v>0</v>
      </c>
      <c r="T41" s="8">
        <v>0</v>
      </c>
      <c r="U41" s="8">
        <v>0</v>
      </c>
      <c r="V41" s="8">
        <v>0</v>
      </c>
      <c r="W41" s="8">
        <v>0</v>
      </c>
      <c r="X41" s="8">
        <v>0</v>
      </c>
      <c r="Y41" s="8">
        <v>0</v>
      </c>
      <c r="Z41" s="8">
        <v>0</v>
      </c>
      <c r="AA41" s="8">
        <v>0</v>
      </c>
      <c r="AB41" s="8">
        <v>0</v>
      </c>
      <c r="AC41" s="8">
        <v>0</v>
      </c>
      <c r="AD41" s="8">
        <v>0</v>
      </c>
      <c r="AE41" s="472">
        <f t="shared" si="1"/>
        <v>0</v>
      </c>
    </row>
    <row r="42" spans="1:31" customFormat="1" ht="12.75" customHeight="1" x14ac:dyDescent="0.25">
      <c r="A42" s="464" t="s">
        <v>1044</v>
      </c>
      <c r="B42" s="468"/>
      <c r="C42" s="469" t="s">
        <v>1045</v>
      </c>
      <c r="D42" s="470"/>
      <c r="E42" s="470"/>
      <c r="F42" s="470"/>
      <c r="G42" s="471"/>
      <c r="H42" s="8">
        <v>0</v>
      </c>
      <c r="I42" s="8">
        <v>0</v>
      </c>
      <c r="J42" s="8">
        <v>0</v>
      </c>
      <c r="K42" s="8">
        <v>0</v>
      </c>
      <c r="L42" s="8">
        <v>366</v>
      </c>
      <c r="M42" s="8">
        <v>68</v>
      </c>
      <c r="N42" s="8">
        <v>0</v>
      </c>
      <c r="O42" s="8">
        <v>0</v>
      </c>
      <c r="P42" s="8">
        <v>245</v>
      </c>
      <c r="Q42" s="472">
        <f t="shared" si="0"/>
        <v>679</v>
      </c>
      <c r="R42" s="8">
        <v>275</v>
      </c>
      <c r="S42" s="8">
        <v>0</v>
      </c>
      <c r="T42" s="8">
        <v>0</v>
      </c>
      <c r="U42" s="8">
        <v>0</v>
      </c>
      <c r="V42" s="8">
        <v>0</v>
      </c>
      <c r="W42" s="8">
        <v>13</v>
      </c>
      <c r="X42" s="8">
        <v>813</v>
      </c>
      <c r="Y42" s="8">
        <v>0</v>
      </c>
      <c r="Z42" s="8">
        <v>0</v>
      </c>
      <c r="AA42" s="8">
        <v>0</v>
      </c>
      <c r="AB42" s="8">
        <v>0</v>
      </c>
      <c r="AC42" s="8">
        <v>2</v>
      </c>
      <c r="AD42" s="8">
        <v>-9</v>
      </c>
      <c r="AE42" s="472">
        <f t="shared" si="1"/>
        <v>1773</v>
      </c>
    </row>
    <row r="43" spans="1:31" customFormat="1" ht="12.75" customHeight="1" x14ac:dyDescent="0.25">
      <c r="A43" s="464" t="s">
        <v>1046</v>
      </c>
      <c r="B43" s="468"/>
      <c r="C43" s="469" t="s">
        <v>1047</v>
      </c>
      <c r="D43" s="470"/>
      <c r="E43" s="470"/>
      <c r="F43" s="470"/>
      <c r="G43" s="471"/>
      <c r="H43" s="8">
        <v>0</v>
      </c>
      <c r="I43" s="8">
        <v>3</v>
      </c>
      <c r="J43" s="8">
        <v>0</v>
      </c>
      <c r="K43" s="8">
        <v>0</v>
      </c>
      <c r="L43" s="8">
        <v>25</v>
      </c>
      <c r="M43" s="8">
        <v>118</v>
      </c>
      <c r="N43" s="8">
        <v>0</v>
      </c>
      <c r="O43" s="8">
        <v>0</v>
      </c>
      <c r="P43" s="8">
        <v>15</v>
      </c>
      <c r="Q43" s="472">
        <f t="shared" si="0"/>
        <v>161</v>
      </c>
      <c r="R43" s="8">
        <v>168</v>
      </c>
      <c r="S43" s="8">
        <v>0</v>
      </c>
      <c r="T43" s="8">
        <v>0</v>
      </c>
      <c r="U43" s="8">
        <v>0</v>
      </c>
      <c r="V43" s="8">
        <v>0</v>
      </c>
      <c r="W43" s="8">
        <v>0</v>
      </c>
      <c r="X43" s="8">
        <v>16</v>
      </c>
      <c r="Y43" s="8">
        <v>0</v>
      </c>
      <c r="Z43" s="8">
        <v>0</v>
      </c>
      <c r="AA43" s="8">
        <v>0</v>
      </c>
      <c r="AB43" s="8">
        <v>0</v>
      </c>
      <c r="AC43" s="8">
        <v>0</v>
      </c>
      <c r="AD43" s="8">
        <v>0</v>
      </c>
      <c r="AE43" s="472">
        <f t="shared" si="1"/>
        <v>345</v>
      </c>
    </row>
    <row r="44" spans="1:31" customFormat="1" ht="12.75" customHeight="1" x14ac:dyDescent="0.25">
      <c r="A44" s="464" t="s">
        <v>1048</v>
      </c>
      <c r="B44" s="468"/>
      <c r="C44" s="469" t="s">
        <v>1049</v>
      </c>
      <c r="D44" s="470"/>
      <c r="E44" s="470"/>
      <c r="F44" s="470"/>
      <c r="G44" s="471"/>
      <c r="H44" s="8">
        <v>0</v>
      </c>
      <c r="I44" s="8">
        <v>0</v>
      </c>
      <c r="J44" s="8">
        <v>0</v>
      </c>
      <c r="K44" s="8">
        <v>0</v>
      </c>
      <c r="L44" s="8">
        <v>63</v>
      </c>
      <c r="M44" s="8">
        <v>165</v>
      </c>
      <c r="N44" s="8">
        <v>0</v>
      </c>
      <c r="O44" s="8">
        <v>0</v>
      </c>
      <c r="P44" s="8">
        <v>9</v>
      </c>
      <c r="Q44" s="472">
        <f t="shared" si="0"/>
        <v>237</v>
      </c>
      <c r="R44" s="8">
        <v>265</v>
      </c>
      <c r="S44" s="8">
        <v>0</v>
      </c>
      <c r="T44" s="8">
        <v>42</v>
      </c>
      <c r="U44" s="8">
        <v>0</v>
      </c>
      <c r="V44" s="8">
        <v>0</v>
      </c>
      <c r="W44" s="8">
        <v>0</v>
      </c>
      <c r="X44" s="8">
        <v>0</v>
      </c>
      <c r="Y44" s="8">
        <v>0</v>
      </c>
      <c r="Z44" s="8">
        <v>0</v>
      </c>
      <c r="AA44" s="8">
        <v>0</v>
      </c>
      <c r="AB44" s="8">
        <v>0</v>
      </c>
      <c r="AC44" s="8">
        <v>0</v>
      </c>
      <c r="AD44" s="8">
        <v>0</v>
      </c>
      <c r="AE44" s="472">
        <f t="shared" si="1"/>
        <v>544</v>
      </c>
    </row>
    <row r="45" spans="1:31" customFormat="1" ht="12.75" customHeight="1" x14ac:dyDescent="0.25">
      <c r="A45" s="464" t="s">
        <v>1050</v>
      </c>
      <c r="B45" s="468"/>
      <c r="C45" s="469" t="s">
        <v>1051</v>
      </c>
      <c r="D45" s="470"/>
      <c r="E45" s="470"/>
      <c r="F45" s="470"/>
      <c r="G45" s="471"/>
      <c r="H45" s="8">
        <v>0</v>
      </c>
      <c r="I45" s="8">
        <v>0</v>
      </c>
      <c r="J45" s="8">
        <v>0</v>
      </c>
      <c r="K45" s="8">
        <v>0</v>
      </c>
      <c r="L45" s="8">
        <v>0</v>
      </c>
      <c r="M45" s="8">
        <v>5</v>
      </c>
      <c r="N45" s="8">
        <v>0</v>
      </c>
      <c r="O45" s="8">
        <v>0</v>
      </c>
      <c r="P45" s="8">
        <v>7</v>
      </c>
      <c r="Q45" s="472">
        <f t="shared" si="0"/>
        <v>12</v>
      </c>
      <c r="R45" s="8">
        <v>192</v>
      </c>
      <c r="S45" s="8">
        <v>0</v>
      </c>
      <c r="T45" s="8">
        <v>0</v>
      </c>
      <c r="U45" s="8">
        <v>0</v>
      </c>
      <c r="V45" s="8">
        <v>0</v>
      </c>
      <c r="W45" s="8">
        <v>0</v>
      </c>
      <c r="X45" s="8">
        <v>756</v>
      </c>
      <c r="Y45" s="8">
        <v>0</v>
      </c>
      <c r="Z45" s="8">
        <v>0</v>
      </c>
      <c r="AA45" s="8">
        <v>0</v>
      </c>
      <c r="AB45" s="8">
        <v>-1</v>
      </c>
      <c r="AC45" s="8">
        <v>0</v>
      </c>
      <c r="AD45" s="8">
        <v>0</v>
      </c>
      <c r="AE45" s="472">
        <f t="shared" si="1"/>
        <v>959</v>
      </c>
    </row>
    <row r="46" spans="1:31" customFormat="1" ht="12.75" customHeight="1" x14ac:dyDescent="0.25">
      <c r="A46" s="464" t="s">
        <v>1052</v>
      </c>
      <c r="B46" s="468"/>
      <c r="C46" s="469" t="s">
        <v>1053</v>
      </c>
      <c r="D46" s="470"/>
      <c r="E46" s="470"/>
      <c r="F46" s="470"/>
      <c r="G46" s="471"/>
      <c r="H46" s="8">
        <v>0</v>
      </c>
      <c r="I46" s="8">
        <v>0</v>
      </c>
      <c r="J46" s="8">
        <v>0</v>
      </c>
      <c r="K46" s="8">
        <v>0</v>
      </c>
      <c r="L46" s="8">
        <v>0</v>
      </c>
      <c r="M46" s="8">
        <v>4</v>
      </c>
      <c r="N46" s="8">
        <v>0</v>
      </c>
      <c r="O46" s="8">
        <v>0</v>
      </c>
      <c r="P46" s="8">
        <v>0</v>
      </c>
      <c r="Q46" s="472">
        <f t="shared" si="0"/>
        <v>4</v>
      </c>
      <c r="R46" s="8">
        <v>41</v>
      </c>
      <c r="S46" s="8">
        <v>0</v>
      </c>
      <c r="T46" s="8">
        <v>0</v>
      </c>
      <c r="U46" s="8">
        <v>0</v>
      </c>
      <c r="V46" s="8">
        <v>0</v>
      </c>
      <c r="W46" s="8">
        <v>0</v>
      </c>
      <c r="X46" s="8">
        <v>290</v>
      </c>
      <c r="Y46" s="8">
        <v>0</v>
      </c>
      <c r="Z46" s="8">
        <v>0</v>
      </c>
      <c r="AA46" s="8">
        <v>0</v>
      </c>
      <c r="AB46" s="8">
        <v>0</v>
      </c>
      <c r="AC46" s="8">
        <v>0</v>
      </c>
      <c r="AD46" s="8">
        <v>0</v>
      </c>
      <c r="AE46" s="472">
        <f t="shared" si="1"/>
        <v>335</v>
      </c>
    </row>
    <row r="47" spans="1:31" customFormat="1" ht="12.75" customHeight="1" x14ac:dyDescent="0.25">
      <c r="A47" s="464" t="s">
        <v>1054</v>
      </c>
      <c r="B47" s="468"/>
      <c r="C47" s="469" t="s">
        <v>1055</v>
      </c>
      <c r="D47" s="470"/>
      <c r="E47" s="470"/>
      <c r="F47" s="470"/>
      <c r="G47" s="471"/>
      <c r="H47" s="8">
        <v>0</v>
      </c>
      <c r="I47" s="8">
        <v>0</v>
      </c>
      <c r="J47" s="8">
        <v>0</v>
      </c>
      <c r="K47" s="8">
        <v>0</v>
      </c>
      <c r="L47" s="8">
        <v>0</v>
      </c>
      <c r="M47" s="8">
        <v>28</v>
      </c>
      <c r="N47" s="8">
        <v>0</v>
      </c>
      <c r="O47" s="8">
        <v>0</v>
      </c>
      <c r="P47" s="8">
        <v>0</v>
      </c>
      <c r="Q47" s="472">
        <f t="shared" si="0"/>
        <v>28</v>
      </c>
      <c r="R47" s="8">
        <v>89</v>
      </c>
      <c r="S47" s="8">
        <v>0</v>
      </c>
      <c r="T47" s="8">
        <v>0</v>
      </c>
      <c r="U47" s="8">
        <v>0</v>
      </c>
      <c r="V47" s="8">
        <v>0</v>
      </c>
      <c r="W47" s="8">
        <v>1</v>
      </c>
      <c r="X47" s="8">
        <v>0</v>
      </c>
      <c r="Y47" s="8">
        <v>2</v>
      </c>
      <c r="Z47" s="8">
        <v>0</v>
      </c>
      <c r="AA47" s="8">
        <v>0</v>
      </c>
      <c r="AB47" s="8">
        <v>587</v>
      </c>
      <c r="AC47" s="8">
        <v>0</v>
      </c>
      <c r="AD47" s="8">
        <v>0</v>
      </c>
      <c r="AE47" s="472">
        <f t="shared" si="1"/>
        <v>707</v>
      </c>
    </row>
    <row r="48" spans="1:31" customFormat="1" ht="12.75" customHeight="1" x14ac:dyDescent="0.25">
      <c r="A48" s="464" t="s">
        <v>1056</v>
      </c>
      <c r="B48" s="468"/>
      <c r="C48" s="469" t="s">
        <v>1057</v>
      </c>
      <c r="D48" s="470"/>
      <c r="E48" s="470"/>
      <c r="F48" s="470"/>
      <c r="G48" s="471"/>
      <c r="H48" s="8">
        <v>0</v>
      </c>
      <c r="I48" s="8">
        <v>0</v>
      </c>
      <c r="J48" s="8">
        <v>0</v>
      </c>
      <c r="K48" s="8">
        <v>692</v>
      </c>
      <c r="L48" s="8">
        <v>0</v>
      </c>
      <c r="M48" s="8">
        <v>1164</v>
      </c>
      <c r="N48" s="8">
        <v>0</v>
      </c>
      <c r="O48" s="8">
        <v>0</v>
      </c>
      <c r="P48" s="8">
        <v>1</v>
      </c>
      <c r="Q48" s="472">
        <f t="shared" si="0"/>
        <v>1857</v>
      </c>
      <c r="R48" s="8">
        <v>247</v>
      </c>
      <c r="S48" s="8">
        <v>0</v>
      </c>
      <c r="T48" s="8">
        <v>10</v>
      </c>
      <c r="U48" s="8">
        <v>0</v>
      </c>
      <c r="V48" s="8">
        <v>0</v>
      </c>
      <c r="W48" s="8">
        <v>-122</v>
      </c>
      <c r="X48" s="8">
        <v>68</v>
      </c>
      <c r="Y48" s="8">
        <v>-5</v>
      </c>
      <c r="Z48" s="8">
        <v>0</v>
      </c>
      <c r="AA48" s="8">
        <v>66</v>
      </c>
      <c r="AB48" s="8">
        <v>0</v>
      </c>
      <c r="AC48" s="8">
        <v>0</v>
      </c>
      <c r="AD48" s="8">
        <v>97</v>
      </c>
      <c r="AE48" s="472">
        <f t="shared" si="1"/>
        <v>2218</v>
      </c>
    </row>
    <row r="49" spans="1:31" customFormat="1" ht="12.75" customHeight="1" x14ac:dyDescent="0.25">
      <c r="A49" s="464" t="s">
        <v>1058</v>
      </c>
      <c r="B49" s="468"/>
      <c r="C49" s="469" t="s">
        <v>1059</v>
      </c>
      <c r="D49" s="470"/>
      <c r="E49" s="470"/>
      <c r="F49" s="470"/>
      <c r="G49" s="471"/>
      <c r="H49" s="8">
        <v>0</v>
      </c>
      <c r="I49" s="8">
        <v>0</v>
      </c>
      <c r="J49" s="8">
        <v>0</v>
      </c>
      <c r="K49" s="8">
        <v>0</v>
      </c>
      <c r="L49" s="8">
        <v>4</v>
      </c>
      <c r="M49" s="8">
        <v>20</v>
      </c>
      <c r="N49" s="8">
        <v>0</v>
      </c>
      <c r="O49" s="8">
        <v>0</v>
      </c>
      <c r="P49" s="8">
        <v>81</v>
      </c>
      <c r="Q49" s="472">
        <f t="shared" si="0"/>
        <v>105</v>
      </c>
      <c r="R49" s="8">
        <v>22</v>
      </c>
      <c r="S49" s="8">
        <v>25</v>
      </c>
      <c r="T49" s="8">
        <v>-17</v>
      </c>
      <c r="U49" s="8">
        <v>0</v>
      </c>
      <c r="V49" s="8">
        <v>0</v>
      </c>
      <c r="W49" s="8">
        <v>1</v>
      </c>
      <c r="X49" s="8">
        <v>0</v>
      </c>
      <c r="Y49" s="8">
        <v>0</v>
      </c>
      <c r="Z49" s="8">
        <v>0</v>
      </c>
      <c r="AA49" s="8">
        <v>38</v>
      </c>
      <c r="AB49" s="8">
        <v>0</v>
      </c>
      <c r="AC49" s="8">
        <v>0</v>
      </c>
      <c r="AD49" s="8">
        <v>0</v>
      </c>
      <c r="AE49" s="472">
        <f t="shared" si="1"/>
        <v>174</v>
      </c>
    </row>
    <row r="50" spans="1:31" customFormat="1" ht="12.75" customHeight="1" x14ac:dyDescent="0.25">
      <c r="A50" s="464" t="s">
        <v>1060</v>
      </c>
      <c r="B50" s="468"/>
      <c r="C50" s="469" t="s">
        <v>1061</v>
      </c>
      <c r="D50" s="470"/>
      <c r="E50" s="470"/>
      <c r="F50" s="470"/>
      <c r="G50" s="471"/>
      <c r="H50" s="8">
        <v>0</v>
      </c>
      <c r="I50" s="8">
        <v>0</v>
      </c>
      <c r="J50" s="8">
        <v>0</v>
      </c>
      <c r="K50" s="8">
        <v>0</v>
      </c>
      <c r="L50" s="8">
        <v>0</v>
      </c>
      <c r="M50" s="8">
        <v>0</v>
      </c>
      <c r="N50" s="8">
        <v>0</v>
      </c>
      <c r="O50" s="8">
        <v>0</v>
      </c>
      <c r="P50" s="8">
        <v>0</v>
      </c>
      <c r="Q50" s="472">
        <f t="shared" si="0"/>
        <v>0</v>
      </c>
      <c r="R50" s="8">
        <v>0</v>
      </c>
      <c r="S50" s="8">
        <v>0</v>
      </c>
      <c r="T50" s="8">
        <v>0</v>
      </c>
      <c r="U50" s="8">
        <v>0</v>
      </c>
      <c r="V50" s="8">
        <v>0</v>
      </c>
      <c r="W50" s="8">
        <v>0</v>
      </c>
      <c r="X50" s="8">
        <v>0</v>
      </c>
      <c r="Y50" s="8">
        <v>0</v>
      </c>
      <c r="Z50" s="8">
        <v>0</v>
      </c>
      <c r="AA50" s="8">
        <v>0</v>
      </c>
      <c r="AB50" s="8">
        <v>0</v>
      </c>
      <c r="AC50" s="8">
        <v>0</v>
      </c>
      <c r="AD50" s="8">
        <v>0</v>
      </c>
      <c r="AE50" s="472">
        <f t="shared" si="1"/>
        <v>0</v>
      </c>
    </row>
    <row r="51" spans="1:31" customFormat="1" ht="12.75" customHeight="1" x14ac:dyDescent="0.25">
      <c r="A51" s="464" t="s">
        <v>1062</v>
      </c>
      <c r="B51" s="405" t="s">
        <v>1063</v>
      </c>
      <c r="C51" s="390"/>
      <c r="D51" s="390"/>
      <c r="E51" s="390"/>
      <c r="F51" s="390"/>
      <c r="G51" s="418"/>
      <c r="H51" s="447">
        <f t="shared" ref="H51:AE51" si="2">SUM(H6:H50)</f>
        <v>20552</v>
      </c>
      <c r="I51" s="447">
        <f t="shared" si="2"/>
        <v>35267</v>
      </c>
      <c r="J51" s="447">
        <f t="shared" si="2"/>
        <v>9066</v>
      </c>
      <c r="K51" s="447">
        <f t="shared" si="2"/>
        <v>26577</v>
      </c>
      <c r="L51" s="447">
        <f t="shared" si="2"/>
        <v>8801</v>
      </c>
      <c r="M51" s="447">
        <f t="shared" si="2"/>
        <v>1889</v>
      </c>
      <c r="N51" s="447">
        <f t="shared" si="2"/>
        <v>6884</v>
      </c>
      <c r="O51" s="447">
        <f t="shared" si="2"/>
        <v>629</v>
      </c>
      <c r="P51" s="447">
        <f t="shared" si="2"/>
        <v>1914</v>
      </c>
      <c r="Q51" s="447">
        <f t="shared" si="2"/>
        <v>111579</v>
      </c>
      <c r="R51" s="472">
        <f t="shared" si="2"/>
        <v>61361</v>
      </c>
      <c r="S51" s="472">
        <f t="shared" si="2"/>
        <v>264</v>
      </c>
      <c r="T51" s="472">
        <f t="shared" si="2"/>
        <v>52071</v>
      </c>
      <c r="U51" s="472">
        <f t="shared" si="2"/>
        <v>0</v>
      </c>
      <c r="V51" s="472">
        <f t="shared" si="2"/>
        <v>6895</v>
      </c>
      <c r="W51" s="472">
        <f t="shared" si="2"/>
        <v>2968</v>
      </c>
      <c r="X51" s="472">
        <f t="shared" si="2"/>
        <v>34466</v>
      </c>
      <c r="Y51" s="472">
        <f t="shared" si="2"/>
        <v>137</v>
      </c>
      <c r="Z51" s="472">
        <f t="shared" si="2"/>
        <v>2167</v>
      </c>
      <c r="AA51" s="472">
        <f t="shared" si="2"/>
        <v>1502</v>
      </c>
      <c r="AB51" s="472">
        <f t="shared" si="2"/>
        <v>7219</v>
      </c>
      <c r="AC51" s="472">
        <f t="shared" si="2"/>
        <v>6251</v>
      </c>
      <c r="AD51" s="472">
        <f t="shared" si="2"/>
        <v>7371</v>
      </c>
      <c r="AE51" s="472">
        <f t="shared" si="2"/>
        <v>294251</v>
      </c>
    </row>
    <row r="52" spans="1:31" customFormat="1" ht="12.75" customHeight="1" x14ac:dyDescent="0.25">
      <c r="A52" s="464"/>
      <c r="B52" s="31"/>
      <c r="C52" s="470"/>
      <c r="D52" s="470"/>
      <c r="E52" s="470"/>
      <c r="F52" s="470"/>
      <c r="G52" s="39"/>
      <c r="H52" s="40"/>
      <c r="I52" s="40"/>
      <c r="J52" s="40"/>
      <c r="K52" s="40"/>
      <c r="L52" s="40"/>
      <c r="M52" s="40"/>
      <c r="N52" s="40"/>
      <c r="O52" s="40"/>
      <c r="P52" s="40"/>
      <c r="Q52" s="37"/>
      <c r="R52" s="37"/>
      <c r="S52" s="37"/>
      <c r="T52" s="37"/>
      <c r="U52" s="37"/>
      <c r="V52" s="37"/>
      <c r="W52" s="37"/>
      <c r="X52" s="37"/>
      <c r="Y52" s="37"/>
      <c r="Z52" s="37"/>
      <c r="AA52" s="37"/>
      <c r="AB52" s="37"/>
      <c r="AC52" s="37"/>
      <c r="AD52" s="37"/>
      <c r="AE52" s="37"/>
    </row>
    <row r="53" spans="1:31" customFormat="1" ht="12.75" customHeight="1" x14ac:dyDescent="0.25">
      <c r="A53" s="464">
        <v>2</v>
      </c>
      <c r="B53" s="468" t="s">
        <v>1064</v>
      </c>
      <c r="C53" s="469"/>
      <c r="D53" s="469"/>
      <c r="E53" s="469"/>
      <c r="F53" s="469"/>
      <c r="G53" s="473"/>
      <c r="H53" s="8">
        <v>0</v>
      </c>
      <c r="I53" s="8">
        <v>0</v>
      </c>
      <c r="J53" s="8">
        <v>0</v>
      </c>
      <c r="K53" s="8">
        <v>1131</v>
      </c>
      <c r="L53" s="8">
        <v>52</v>
      </c>
      <c r="M53" s="8">
        <v>23</v>
      </c>
      <c r="N53" s="8">
        <v>0</v>
      </c>
      <c r="O53" s="8">
        <v>0</v>
      </c>
      <c r="P53" s="8">
        <v>0</v>
      </c>
      <c r="Q53" s="472">
        <f>SUM(H53:P53)</f>
        <v>1206</v>
      </c>
      <c r="R53" s="8">
        <v>909</v>
      </c>
      <c r="S53" s="8">
        <v>0</v>
      </c>
      <c r="T53" s="8">
        <v>0</v>
      </c>
      <c r="U53" s="8">
        <v>0</v>
      </c>
      <c r="V53" s="8">
        <v>0</v>
      </c>
      <c r="W53" s="8">
        <v>0</v>
      </c>
      <c r="X53" s="8">
        <v>396</v>
      </c>
      <c r="Y53" s="8">
        <v>0</v>
      </c>
      <c r="Z53" s="8">
        <v>0</v>
      </c>
      <c r="AA53" s="8">
        <v>0</v>
      </c>
      <c r="AB53" s="8">
        <v>0</v>
      </c>
      <c r="AC53" s="8">
        <v>0</v>
      </c>
      <c r="AD53" s="8">
        <v>0</v>
      </c>
      <c r="AE53" s="472">
        <f>SUM(Q53:AD53)</f>
        <v>2511</v>
      </c>
    </row>
    <row r="54" spans="1:31" customFormat="1" ht="12.75" customHeight="1" x14ac:dyDescent="0.25">
      <c r="A54" s="464"/>
      <c r="B54" s="31"/>
      <c r="C54" s="470"/>
      <c r="D54" s="470"/>
      <c r="E54" s="470"/>
      <c r="F54" s="470"/>
      <c r="G54" s="39"/>
      <c r="H54" s="40"/>
      <c r="I54" s="40"/>
      <c r="J54" s="40"/>
      <c r="K54" s="40"/>
      <c r="L54" s="40"/>
      <c r="M54" s="40"/>
      <c r="N54" s="40"/>
      <c r="O54" s="40"/>
      <c r="P54" s="40"/>
      <c r="Q54" s="37"/>
      <c r="R54" s="37"/>
      <c r="S54" s="37"/>
      <c r="T54" s="37"/>
      <c r="U54" s="37"/>
      <c r="V54" s="37"/>
      <c r="W54" s="37"/>
      <c r="X54" s="37"/>
      <c r="Y54" s="37"/>
      <c r="Z54" s="37"/>
      <c r="AA54" s="37"/>
      <c r="AB54" s="37"/>
      <c r="AC54" s="37"/>
      <c r="AD54" s="37"/>
      <c r="AE54" s="37"/>
    </row>
    <row r="55" spans="1:31" customFormat="1" ht="12.75" customHeight="1" x14ac:dyDescent="0.25">
      <c r="A55" s="464">
        <v>3</v>
      </c>
      <c r="B55" s="465" t="s">
        <v>1065</v>
      </c>
      <c r="C55" s="466"/>
      <c r="D55" s="466"/>
      <c r="E55" s="466"/>
      <c r="F55" s="466"/>
      <c r="G55" s="467"/>
      <c r="H55" s="474"/>
      <c r="I55" s="474"/>
      <c r="J55" s="474"/>
      <c r="K55" s="474"/>
      <c r="L55" s="474"/>
      <c r="M55" s="474"/>
      <c r="N55" s="474"/>
      <c r="O55" s="474"/>
      <c r="P55" s="474"/>
      <c r="Q55" s="311"/>
      <c r="R55" s="311"/>
      <c r="S55" s="311"/>
      <c r="T55" s="311"/>
      <c r="U55" s="311"/>
      <c r="V55" s="311"/>
      <c r="W55" s="311"/>
      <c r="X55" s="311"/>
      <c r="Y55" s="311"/>
      <c r="Z55" s="311"/>
      <c r="AA55" s="311"/>
      <c r="AB55" s="311"/>
      <c r="AC55" s="311"/>
      <c r="AD55" s="311"/>
      <c r="AE55" s="311"/>
    </row>
    <row r="56" spans="1:31" customFormat="1" ht="12.75" customHeight="1" x14ac:dyDescent="0.25">
      <c r="A56" s="464" t="s">
        <v>816</v>
      </c>
      <c r="B56" s="475"/>
      <c r="C56" s="469" t="s">
        <v>1066</v>
      </c>
      <c r="D56" s="470"/>
      <c r="E56" s="470"/>
      <c r="F56" s="470"/>
      <c r="G56" s="471"/>
      <c r="H56" s="8">
        <v>0</v>
      </c>
      <c r="I56" s="8">
        <v>0</v>
      </c>
      <c r="J56" s="8">
        <v>0</v>
      </c>
      <c r="K56" s="8">
        <v>0</v>
      </c>
      <c r="L56" s="8">
        <v>459</v>
      </c>
      <c r="M56" s="8">
        <v>0</v>
      </c>
      <c r="N56" s="8">
        <v>0</v>
      </c>
      <c r="O56" s="8">
        <v>0</v>
      </c>
      <c r="P56" s="8">
        <v>0</v>
      </c>
      <c r="Q56" s="472">
        <f>SUM(H56:P56)</f>
        <v>459</v>
      </c>
      <c r="R56" s="8">
        <v>0</v>
      </c>
      <c r="S56" s="8">
        <v>0</v>
      </c>
      <c r="T56" s="8">
        <v>-30</v>
      </c>
      <c r="U56" s="8">
        <v>0</v>
      </c>
      <c r="V56" s="8">
        <v>0</v>
      </c>
      <c r="W56" s="8">
        <v>-1132</v>
      </c>
      <c r="X56" s="8">
        <v>75</v>
      </c>
      <c r="Y56" s="8">
        <v>0</v>
      </c>
      <c r="Z56" s="8">
        <v>0</v>
      </c>
      <c r="AA56" s="8">
        <v>0</v>
      </c>
      <c r="AB56" s="8">
        <v>0</v>
      </c>
      <c r="AC56" s="8">
        <v>0</v>
      </c>
      <c r="AD56" s="8">
        <v>0</v>
      </c>
      <c r="AE56" s="472">
        <f>SUM(Q56:AD56)</f>
        <v>-628</v>
      </c>
    </row>
    <row r="57" spans="1:31" customFormat="1" ht="12.75" customHeight="1" x14ac:dyDescent="0.25">
      <c r="A57" s="464" t="s">
        <v>818</v>
      </c>
      <c r="B57" s="475"/>
      <c r="C57" s="469" t="s">
        <v>1067</v>
      </c>
      <c r="D57" s="470"/>
      <c r="E57" s="470"/>
      <c r="F57" s="470"/>
      <c r="G57" s="471"/>
      <c r="H57" s="8">
        <v>0</v>
      </c>
      <c r="I57" s="8">
        <v>0</v>
      </c>
      <c r="J57" s="8">
        <v>0</v>
      </c>
      <c r="K57" s="8">
        <v>0</v>
      </c>
      <c r="L57" s="8">
        <v>0</v>
      </c>
      <c r="M57" s="8">
        <v>0</v>
      </c>
      <c r="N57" s="8">
        <v>0</v>
      </c>
      <c r="O57" s="8">
        <v>0</v>
      </c>
      <c r="P57" s="8">
        <v>0</v>
      </c>
      <c r="Q57" s="472">
        <f>SUM(H57:P57)</f>
        <v>0</v>
      </c>
      <c r="R57" s="8">
        <v>0</v>
      </c>
      <c r="S57" s="8">
        <v>0</v>
      </c>
      <c r="T57" s="8">
        <v>0</v>
      </c>
      <c r="U57" s="8">
        <v>0</v>
      </c>
      <c r="V57" s="8">
        <v>0</v>
      </c>
      <c r="W57" s="8">
        <v>1</v>
      </c>
      <c r="X57" s="8">
        <v>0</v>
      </c>
      <c r="Y57" s="8">
        <v>0</v>
      </c>
      <c r="Z57" s="8">
        <v>0</v>
      </c>
      <c r="AA57" s="8">
        <v>0</v>
      </c>
      <c r="AB57" s="8">
        <v>0</v>
      </c>
      <c r="AC57" s="8">
        <v>0</v>
      </c>
      <c r="AD57" s="8">
        <v>0</v>
      </c>
      <c r="AE57" s="472">
        <f>SUM(Q57:AD57)</f>
        <v>1</v>
      </c>
    </row>
    <row r="58" spans="1:31" customFormat="1" ht="12.75" customHeight="1" x14ac:dyDescent="0.25">
      <c r="A58" s="464" t="s">
        <v>820</v>
      </c>
      <c r="B58" s="475"/>
      <c r="C58" s="469" t="s">
        <v>1068</v>
      </c>
      <c r="D58" s="470"/>
      <c r="E58" s="470"/>
      <c r="F58" s="470"/>
      <c r="G58" s="471"/>
      <c r="H58" s="8">
        <v>0</v>
      </c>
      <c r="I58" s="8">
        <v>0</v>
      </c>
      <c r="J58" s="8">
        <v>0</v>
      </c>
      <c r="K58" s="8">
        <v>0</v>
      </c>
      <c r="L58" s="8">
        <v>0</v>
      </c>
      <c r="M58" s="8">
        <v>0</v>
      </c>
      <c r="N58" s="8">
        <v>0</v>
      </c>
      <c r="O58" s="8">
        <v>0</v>
      </c>
      <c r="P58" s="8">
        <v>0</v>
      </c>
      <c r="Q58" s="472">
        <f>SUM(H58:P58)</f>
        <v>0</v>
      </c>
      <c r="R58" s="8">
        <v>0</v>
      </c>
      <c r="S58" s="8">
        <v>0</v>
      </c>
      <c r="T58" s="8">
        <v>0</v>
      </c>
      <c r="U58" s="8">
        <v>0</v>
      </c>
      <c r="V58" s="8">
        <v>0</v>
      </c>
      <c r="W58" s="8">
        <v>0</v>
      </c>
      <c r="X58" s="8">
        <v>0</v>
      </c>
      <c r="Y58" s="8">
        <v>0</v>
      </c>
      <c r="Z58" s="8">
        <v>0</v>
      </c>
      <c r="AA58" s="8">
        <v>0</v>
      </c>
      <c r="AB58" s="8">
        <v>0</v>
      </c>
      <c r="AC58" s="8">
        <v>0</v>
      </c>
      <c r="AD58" s="8">
        <v>0</v>
      </c>
      <c r="AE58" s="472">
        <f>SUM(Q58:AD58)</f>
        <v>0</v>
      </c>
    </row>
    <row r="59" spans="1:31" customFormat="1" ht="12.75" customHeight="1" x14ac:dyDescent="0.25">
      <c r="A59" s="464" t="s">
        <v>822</v>
      </c>
      <c r="B59" s="405" t="s">
        <v>1069</v>
      </c>
      <c r="C59" s="390"/>
      <c r="D59" s="390"/>
      <c r="E59" s="390"/>
      <c r="F59" s="390"/>
      <c r="G59" s="418"/>
      <c r="H59" s="447">
        <f t="shared" ref="H59:AE59" si="3">SUM(H56:H58)</f>
        <v>0</v>
      </c>
      <c r="I59" s="447">
        <f t="shared" si="3"/>
        <v>0</v>
      </c>
      <c r="J59" s="447">
        <f t="shared" si="3"/>
        <v>0</v>
      </c>
      <c r="K59" s="447">
        <f t="shared" si="3"/>
        <v>0</v>
      </c>
      <c r="L59" s="447">
        <f t="shared" si="3"/>
        <v>459</v>
      </c>
      <c r="M59" s="447">
        <f t="shared" si="3"/>
        <v>0</v>
      </c>
      <c r="N59" s="447">
        <f t="shared" si="3"/>
        <v>0</v>
      </c>
      <c r="O59" s="447">
        <f t="shared" si="3"/>
        <v>0</v>
      </c>
      <c r="P59" s="447">
        <f t="shared" si="3"/>
        <v>0</v>
      </c>
      <c r="Q59" s="447">
        <f t="shared" si="3"/>
        <v>459</v>
      </c>
      <c r="R59" s="472">
        <f t="shared" si="3"/>
        <v>0</v>
      </c>
      <c r="S59" s="472">
        <f t="shared" si="3"/>
        <v>0</v>
      </c>
      <c r="T59" s="472">
        <f t="shared" si="3"/>
        <v>-30</v>
      </c>
      <c r="U59" s="472">
        <f t="shared" si="3"/>
        <v>0</v>
      </c>
      <c r="V59" s="472">
        <f t="shared" si="3"/>
        <v>0</v>
      </c>
      <c r="W59" s="472">
        <f t="shared" si="3"/>
        <v>-1131</v>
      </c>
      <c r="X59" s="472">
        <f t="shared" si="3"/>
        <v>75</v>
      </c>
      <c r="Y59" s="472">
        <f t="shared" si="3"/>
        <v>0</v>
      </c>
      <c r="Z59" s="472">
        <f t="shared" si="3"/>
        <v>0</v>
      </c>
      <c r="AA59" s="472">
        <f t="shared" si="3"/>
        <v>0</v>
      </c>
      <c r="AB59" s="472">
        <f t="shared" si="3"/>
        <v>0</v>
      </c>
      <c r="AC59" s="472">
        <f t="shared" si="3"/>
        <v>0</v>
      </c>
      <c r="AD59" s="472">
        <f t="shared" si="3"/>
        <v>0</v>
      </c>
      <c r="AE59" s="472">
        <f t="shared" si="3"/>
        <v>-627</v>
      </c>
    </row>
    <row r="60" spans="1:31" customFormat="1" ht="12.75" customHeight="1" x14ac:dyDescent="0.25">
      <c r="A60" s="464"/>
      <c r="B60" s="476"/>
      <c r="C60" s="477"/>
      <c r="D60" s="477"/>
      <c r="E60" s="477"/>
      <c r="F60" s="477"/>
      <c r="G60" s="478"/>
      <c r="H60" s="40"/>
      <c r="I60" s="40"/>
      <c r="J60" s="40"/>
      <c r="K60" s="40"/>
      <c r="L60" s="40"/>
      <c r="M60" s="40"/>
      <c r="N60" s="40"/>
      <c r="O60" s="40"/>
      <c r="P60" s="40"/>
      <c r="Q60" s="37"/>
      <c r="R60" s="37"/>
      <c r="S60" s="37"/>
      <c r="T60" s="37"/>
      <c r="U60" s="37"/>
      <c r="V60" s="37"/>
      <c r="W60" s="37"/>
      <c r="X60" s="37"/>
      <c r="Y60" s="37"/>
      <c r="Z60" s="37"/>
      <c r="AA60" s="37"/>
      <c r="AB60" s="37"/>
      <c r="AC60" s="37"/>
      <c r="AD60" s="37"/>
      <c r="AE60" s="37"/>
    </row>
    <row r="61" spans="1:31" customFormat="1" ht="12.75" customHeight="1" x14ac:dyDescent="0.25">
      <c r="A61" s="464">
        <v>4</v>
      </c>
      <c r="B61" s="405" t="s">
        <v>1070</v>
      </c>
      <c r="C61" s="390"/>
      <c r="D61" s="390"/>
      <c r="E61" s="390"/>
      <c r="F61" s="390"/>
      <c r="G61" s="418"/>
      <c r="H61" s="447">
        <f t="shared" ref="H61:P61" si="4">H51+H53+H59</f>
        <v>20552</v>
      </c>
      <c r="I61" s="447">
        <f t="shared" si="4"/>
        <v>35267</v>
      </c>
      <c r="J61" s="447">
        <f t="shared" si="4"/>
        <v>9066</v>
      </c>
      <c r="K61" s="447">
        <f t="shared" si="4"/>
        <v>27708</v>
      </c>
      <c r="L61" s="447">
        <f t="shared" si="4"/>
        <v>9312</v>
      </c>
      <c r="M61" s="447">
        <f t="shared" si="4"/>
        <v>1912</v>
      </c>
      <c r="N61" s="447">
        <f t="shared" si="4"/>
        <v>6884</v>
      </c>
      <c r="O61" s="447">
        <f t="shared" si="4"/>
        <v>629</v>
      </c>
      <c r="P61" s="447">
        <f t="shared" si="4"/>
        <v>1914</v>
      </c>
      <c r="Q61" s="472">
        <f>SUM(H61:P61)</f>
        <v>113244</v>
      </c>
      <c r="R61" s="472">
        <f t="shared" ref="R61:AE61" si="5">R51+R53+R59</f>
        <v>62270</v>
      </c>
      <c r="S61" s="472">
        <f t="shared" si="5"/>
        <v>264</v>
      </c>
      <c r="T61" s="472">
        <f t="shared" si="5"/>
        <v>52041</v>
      </c>
      <c r="U61" s="472">
        <f t="shared" si="5"/>
        <v>0</v>
      </c>
      <c r="V61" s="472">
        <f t="shared" si="5"/>
        <v>6895</v>
      </c>
      <c r="W61" s="472">
        <f t="shared" si="5"/>
        <v>1837</v>
      </c>
      <c r="X61" s="472">
        <f t="shared" si="5"/>
        <v>34937</v>
      </c>
      <c r="Y61" s="472">
        <f t="shared" si="5"/>
        <v>137</v>
      </c>
      <c r="Z61" s="472">
        <f t="shared" si="5"/>
        <v>2167</v>
      </c>
      <c r="AA61" s="472">
        <f t="shared" si="5"/>
        <v>1502</v>
      </c>
      <c r="AB61" s="472">
        <f t="shared" si="5"/>
        <v>7219</v>
      </c>
      <c r="AC61" s="472">
        <f t="shared" si="5"/>
        <v>6251</v>
      </c>
      <c r="AD61" s="472">
        <f t="shared" si="5"/>
        <v>7371</v>
      </c>
      <c r="AE61" s="472">
        <f t="shared" si="5"/>
        <v>296135</v>
      </c>
    </row>
    <row r="62" spans="1:31" customFormat="1" ht="12.75" customHeight="1" x14ac:dyDescent="0.25">
      <c r="A62" s="464"/>
      <c r="B62" s="476"/>
      <c r="C62" s="477"/>
      <c r="D62" s="477"/>
      <c r="E62" s="477"/>
      <c r="F62" s="477"/>
      <c r="G62" s="478"/>
      <c r="H62" s="40"/>
      <c r="I62" s="40"/>
      <c r="J62" s="40"/>
      <c r="K62" s="40"/>
      <c r="L62" s="40"/>
      <c r="M62" s="40"/>
      <c r="N62" s="40"/>
      <c r="O62" s="40"/>
      <c r="P62" s="40"/>
      <c r="Q62" s="37"/>
      <c r="R62" s="37"/>
      <c r="S62" s="37"/>
      <c r="T62" s="37"/>
      <c r="U62" s="37"/>
      <c r="V62" s="37"/>
      <c r="W62" s="37"/>
      <c r="X62" s="37"/>
      <c r="Y62" s="37"/>
      <c r="Z62" s="37"/>
      <c r="AA62" s="37"/>
      <c r="AB62" s="37"/>
      <c r="AC62" s="37"/>
      <c r="AD62" s="37"/>
      <c r="AE62" s="37"/>
    </row>
    <row r="63" spans="1:31" customFormat="1" ht="26.25" customHeight="1" x14ac:dyDescent="0.25">
      <c r="A63" s="464">
        <v>5</v>
      </c>
      <c r="B63" s="707" t="s">
        <v>1071</v>
      </c>
      <c r="C63" s="708"/>
      <c r="D63" s="477"/>
      <c r="E63" s="477"/>
      <c r="F63" s="477"/>
      <c r="G63" s="478"/>
      <c r="H63" s="8">
        <v>0</v>
      </c>
      <c r="I63" s="8">
        <v>0</v>
      </c>
      <c r="J63" s="8">
        <v>0</v>
      </c>
      <c r="K63" s="8">
        <v>0</v>
      </c>
      <c r="L63" s="8">
        <v>0</v>
      </c>
      <c r="M63" s="8">
        <v>0</v>
      </c>
      <c r="N63" s="8">
        <v>0</v>
      </c>
      <c r="O63" s="8">
        <v>0</v>
      </c>
      <c r="P63" s="8">
        <v>0</v>
      </c>
      <c r="Q63" s="472">
        <f>SUM(H63:P63)</f>
        <v>0</v>
      </c>
      <c r="R63" s="8">
        <v>0</v>
      </c>
      <c r="S63" s="8">
        <v>0</v>
      </c>
      <c r="T63" s="8">
        <v>0</v>
      </c>
      <c r="U63" s="8">
        <v>0</v>
      </c>
      <c r="V63" s="8">
        <v>0</v>
      </c>
      <c r="W63" s="8">
        <v>0</v>
      </c>
      <c r="X63" s="8">
        <v>0</v>
      </c>
      <c r="Y63" s="8">
        <v>0</v>
      </c>
      <c r="Z63" s="8">
        <v>0</v>
      </c>
      <c r="AA63" s="8">
        <v>0</v>
      </c>
      <c r="AB63" s="8">
        <v>0</v>
      </c>
      <c r="AC63" s="8">
        <v>0</v>
      </c>
      <c r="AD63" s="8">
        <v>0</v>
      </c>
      <c r="AE63" s="472">
        <f>SUM(Q63:AD63)</f>
        <v>0</v>
      </c>
    </row>
    <row r="64" spans="1:31" customFormat="1" ht="12.75" customHeight="1" x14ac:dyDescent="0.25">
      <c r="A64" s="464"/>
      <c r="B64" s="476"/>
      <c r="C64" s="477"/>
      <c r="D64" s="477"/>
      <c r="E64" s="477"/>
      <c r="F64" s="477"/>
      <c r="G64" s="478"/>
      <c r="H64" s="40"/>
      <c r="I64" s="40"/>
      <c r="J64" s="40"/>
      <c r="K64" s="40"/>
      <c r="L64" s="40"/>
      <c r="M64" s="40"/>
      <c r="N64" s="40"/>
      <c r="O64" s="40"/>
      <c r="P64" s="40"/>
      <c r="Q64" s="37"/>
      <c r="R64" s="37"/>
      <c r="S64" s="37"/>
      <c r="T64" s="37"/>
      <c r="U64" s="37"/>
      <c r="V64" s="37"/>
      <c r="W64" s="37"/>
      <c r="X64" s="37"/>
      <c r="Y64" s="37"/>
      <c r="Z64" s="37"/>
      <c r="AA64" s="37"/>
      <c r="AB64" s="37"/>
      <c r="AC64" s="37"/>
      <c r="AD64" s="37"/>
      <c r="AE64" s="37"/>
    </row>
    <row r="65" spans="1:31" s="41" customFormat="1" x14ac:dyDescent="0.2">
      <c r="A65" s="480">
        <v>6</v>
      </c>
      <c r="B65" s="707" t="s">
        <v>1072</v>
      </c>
      <c r="C65" s="708"/>
      <c r="D65" s="481"/>
      <c r="E65" s="481"/>
      <c r="F65" s="481"/>
      <c r="G65" s="482"/>
      <c r="H65" s="8">
        <v>0</v>
      </c>
      <c r="I65" s="8">
        <v>0</v>
      </c>
      <c r="J65" s="8">
        <v>0</v>
      </c>
      <c r="K65" s="8">
        <v>0</v>
      </c>
      <c r="L65" s="8">
        <v>0</v>
      </c>
      <c r="M65" s="8">
        <v>0</v>
      </c>
      <c r="N65" s="8">
        <v>0</v>
      </c>
      <c r="O65" s="8">
        <v>0</v>
      </c>
      <c r="P65" s="8">
        <v>0</v>
      </c>
      <c r="Q65" s="447">
        <f>SUM(H65:P65)</f>
        <v>0</v>
      </c>
      <c r="R65" s="8">
        <v>0</v>
      </c>
      <c r="S65" s="8">
        <v>0</v>
      </c>
      <c r="T65" s="8">
        <v>0</v>
      </c>
      <c r="U65" s="8">
        <v>0</v>
      </c>
      <c r="V65" s="8">
        <v>0</v>
      </c>
      <c r="W65" s="8">
        <v>0</v>
      </c>
      <c r="X65" s="8">
        <v>0</v>
      </c>
      <c r="Y65" s="8">
        <v>0</v>
      </c>
      <c r="Z65" s="8">
        <v>0</v>
      </c>
      <c r="AA65" s="8">
        <v>0</v>
      </c>
      <c r="AB65" s="8">
        <v>0</v>
      </c>
      <c r="AC65" s="8">
        <v>0</v>
      </c>
      <c r="AD65" s="8">
        <v>0</v>
      </c>
      <c r="AE65" s="447">
        <f>SUM(Q65:AD65)</f>
        <v>0</v>
      </c>
    </row>
  </sheetData>
  <sheetProtection algorithmName="SHA-512" hashValue="0EWsmJg0+/gaiylSwi/l8yIurcLsfwjM6f2g5le5KgUG4GmR+KRpG/xK1lBkdYBC7LLd/+BhwFjU2Qu7aDAtJw==" saltValue="saToclfN3y32XVAvIaZHlg==" spinCount="100000" sheet="1" objects="1"/>
  <mergeCells count="4">
    <mergeCell ref="B1:C1"/>
    <mergeCell ref="H1:Q1"/>
    <mergeCell ref="B63:C63"/>
    <mergeCell ref="B65:C65"/>
  </mergeCells>
  <dataValidations xWindow="1514" yWindow="908" count="1">
    <dataValidation type="whole" operator="greaterThan" allowBlank="1" showInputMessage="1" showErrorMessage="1" errorTitle="Whole numbers only allowed" error="All monies should be independently rounded to the nearest £1,000." sqref="H6:P50 R6:AD50 H53:P53 R53:AD53 H56:P58 R56:AD58 H63:P63 R63:AD63 H65:P65 R65:AD65">
      <formula1>-99999999</formula1>
    </dataValidation>
  </dataValidations>
  <printOptions headings="1" gridLines="1"/>
  <pageMargins left="0.31496062992125984" right="0.31496062992125984" top="0.74803149606299213" bottom="0.74803149606299213" header="0.31496062992125984" footer="0.31496062992125984"/>
  <pageSetup paperSize="8" fitToWidth="2" orientation="landscape" r:id="rId1"/>
  <ignoredErrors>
    <ignoredError sqref="Q61"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Notes0 xmlns="619afb7c-2de5-4177-b0d9-08fb7757fa3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BC925C633811549B3F853F120D6577F" ma:contentTypeVersion="7" ma:contentTypeDescription="Create a new document." ma:contentTypeScope="" ma:versionID="08e14eee5223ea5578683b3218f13210">
  <xsd:schema xmlns:xsd="http://www.w3.org/2001/XMLSchema" xmlns:xs="http://www.w3.org/2001/XMLSchema" xmlns:p="http://schemas.microsoft.com/office/2006/metadata/properties" xmlns:ns2="619afb7c-2de5-4177-b0d9-08fb7757fa3f" xmlns:ns3="a58d4ebb-bb17-4274-83c7-4b6519209440" targetNamespace="http://schemas.microsoft.com/office/2006/metadata/properties" ma:root="true" ma:fieldsID="cc8d6d8ad52982e955eb258046cfb89f" ns2:_="" ns3:_="">
    <xsd:import namespace="619afb7c-2de5-4177-b0d9-08fb7757fa3f"/>
    <xsd:import namespace="a58d4ebb-bb17-4274-83c7-4b651920944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Notes0"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9afb7c-2de5-4177-b0d9-08fb7757fa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Notes0" ma:index="12" nillable="true" ma:displayName="Notes" ma:format="Dropdown" ma:internalName="Notes0">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8d4ebb-bb17-4274-83c7-4b6519209440"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A54765-5006-4EDE-8FF9-B7B550F5CF2C}">
  <ds:schemaRefs>
    <ds:schemaRef ds:uri="http://schemas.microsoft.com/sharepoint/v3/contenttype/forms"/>
  </ds:schemaRefs>
</ds:datastoreItem>
</file>

<file path=customXml/itemProps2.xml><?xml version="1.0" encoding="utf-8"?>
<ds:datastoreItem xmlns:ds="http://schemas.openxmlformats.org/officeDocument/2006/customXml" ds:itemID="{A48736F3-9F80-4AEC-BD5C-476A25F9FC35}">
  <ds:schemaRefs>
    <ds:schemaRef ds:uri="619afb7c-2de5-4177-b0d9-08fb7757fa3f"/>
    <ds:schemaRef ds:uri="http://schemas.microsoft.com/office/2006/documentManagement/types"/>
    <ds:schemaRef ds:uri="a58d4ebb-bb17-4274-83c7-4b6519209440"/>
    <ds:schemaRef ds:uri="http://purl.org/dc/elements/1.1/"/>
    <ds:schemaRef ds:uri="http://schemas.microsoft.com/office/infopath/2007/PartnerControls"/>
    <ds:schemaRef ds:uri="http://schemas.openxmlformats.org/package/2006/metadata/core-properties"/>
    <ds:schemaRef ds:uri="http://purl.org/dc/term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D7B90B78-E3FC-4609-82D0-5D21F0AC6C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9afb7c-2de5-4177-b0d9-08fb7757fa3f"/>
    <ds:schemaRef ds:uri="a58d4ebb-bb17-4274-83c7-4b65192094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14</vt:i4>
      </vt:variant>
    </vt:vector>
  </HeadingPairs>
  <TitlesOfParts>
    <vt:vector size="35" baseType="lpstr">
      <vt:lpstr>Hide_me(drop_downs)</vt:lpstr>
      <vt:lpstr>Notes</vt:lpstr>
      <vt:lpstr>Changes Made for C19031</vt:lpstr>
      <vt:lpstr>Title_Page</vt:lpstr>
      <vt:lpstr>Table_1_UK</vt:lpstr>
      <vt:lpstr>Table_2_UK</vt:lpstr>
      <vt:lpstr>Table_2_Scotland</vt:lpstr>
      <vt:lpstr>Table_3_UK</vt:lpstr>
      <vt:lpstr>Table_4_UK</vt:lpstr>
      <vt:lpstr>Table_5_UK</vt:lpstr>
      <vt:lpstr>Table_6_UK</vt:lpstr>
      <vt:lpstr>Table_6_Wales</vt:lpstr>
      <vt:lpstr>Table_6_Scotland</vt:lpstr>
      <vt:lpstr>Table_6_N_Ireland</vt:lpstr>
      <vt:lpstr>Table_7_UK</vt:lpstr>
      <vt:lpstr>Table_8_UK</vt:lpstr>
      <vt:lpstr>Table_9_UK</vt:lpstr>
      <vt:lpstr>Table_10_UK</vt:lpstr>
      <vt:lpstr>Table_11_UK</vt:lpstr>
      <vt:lpstr>Table_12_UK</vt:lpstr>
      <vt:lpstr>KFI</vt:lpstr>
      <vt:lpstr>KFI!Print_Area</vt:lpstr>
      <vt:lpstr>Table_1_UK!Print_Area</vt:lpstr>
      <vt:lpstr>Table_10_UK!Print_Area</vt:lpstr>
      <vt:lpstr>Table_2_UK!Print_Area</vt:lpstr>
      <vt:lpstr>Table_3_UK!Print_Area</vt:lpstr>
      <vt:lpstr>Table_6_N_Ireland!Print_Area</vt:lpstr>
      <vt:lpstr>Table_6_Scotland!Print_Area</vt:lpstr>
      <vt:lpstr>Table_6_Wales!Print_Area</vt:lpstr>
      <vt:lpstr>Table_9_UK!Print_Area</vt:lpstr>
      <vt:lpstr>Title_Page!Print_Area</vt:lpstr>
      <vt:lpstr>Table_11_UK!Print_Titles</vt:lpstr>
      <vt:lpstr>Table_4_UK!Print_Titles</vt:lpstr>
      <vt:lpstr>Title_Page!Print_Titles</vt:lpstr>
      <vt:lpstr>Rules</vt:lpstr>
    </vt:vector>
  </TitlesOfParts>
  <Company>HESA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Fuidge</dc:creator>
  <cp:lastModifiedBy>WRIGHT Jess</cp:lastModifiedBy>
  <cp:lastPrinted>2021-02-19T15:42:31Z</cp:lastPrinted>
  <dcterms:created xsi:type="dcterms:W3CDTF">2013-10-23T08:26:51Z</dcterms:created>
  <dcterms:modified xsi:type="dcterms:W3CDTF">2022-02-25T10:44:49Z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0x0101006BC925C633811549B3F853F120D6577F</vt:lpwstr>
  </property>
</Properties>
</file>