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adie\Desktop\"/>
    </mc:Choice>
  </mc:AlternateContent>
  <xr:revisionPtr revIDLastSave="0" documentId="8_{826FA1C4-9C7E-44CC-8DE3-0C2B0A19677B}" xr6:coauthVersionLast="47" xr6:coauthVersionMax="47" xr10:uidLastSave="{00000000-0000-0000-0000-000000000000}"/>
  <workbookProtection workbookAlgorithmName="SHA-512" workbookHashValue="4T5Tm9vqhBSpO+ByzsCGbzEJ4SePb8pVf/yMExCak8byovWq0bngT9VGVHd4Lp+8P2dx0el2VZ0lbMvaMlg51g==" workbookSaltValue="0JKsyrAM0TnIkj8yxGwxiA==" workbookSpinCount="100000" lockStructure="1"/>
  <bookViews>
    <workbookView xWindow="-110" yWindow="-110" windowWidth="19420" windowHeight="10300" activeTab="1" xr2:uid="{00000000-000D-0000-FFFF-FFFF00000000}"/>
  </bookViews>
  <sheets>
    <sheet name="Menu &amp; Guidance" sheetId="10" r:id="rId1"/>
    <sheet name="Dates - Input screen" sheetId="4" r:id="rId2"/>
    <sheet name="Data" sheetId="11" state="hidden" r:id="rId3"/>
    <sheet name="Bands" sheetId="12" state="hidden" r:id="rId4"/>
  </sheets>
  <definedNames>
    <definedName name="DAYS">'Dates - Input screen'!$L$3:$L$18</definedName>
    <definedName name="GRADE">'Dates - Input screen'!#REF!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" i="4" l="1"/>
  <c r="F21" i="4" s="1"/>
  <c r="F25" i="4"/>
  <c r="J31" i="4" s="1"/>
  <c r="J33" i="4" s="1"/>
  <c r="J15" i="4"/>
  <c r="J17" i="4"/>
  <c r="H14" i="11"/>
  <c r="J25" i="4"/>
  <c r="J38" i="4" s="1"/>
  <c r="J40" i="4" s="1"/>
  <c r="J37" i="4"/>
  <c r="J39" i="4" s="1"/>
  <c r="J11" i="4"/>
  <c r="M27" i="4"/>
  <c r="M23" i="4"/>
  <c r="M31" i="4" s="1"/>
  <c r="M17" i="4"/>
  <c r="M11" i="4"/>
  <c r="F47" i="4" l="1"/>
  <c r="F27" i="4"/>
  <c r="F29" i="4" s="1"/>
  <c r="F45" i="4" s="1"/>
  <c r="F49" i="4" l="1"/>
  <c r="J23" i="4"/>
  <c r="J45" i="4"/>
  <c r="J49" i="4" s="1"/>
  <c r="J51" i="4" s="1"/>
  <c r="F33" i="4"/>
  <c r="F31" i="4"/>
  <c r="F35" i="4" l="1"/>
  <c r="F51" i="4"/>
  <c r="F5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RICHARDSON Kerry</author>
  </authors>
  <commentList>
    <comment ref="F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NOTE: Look up your full-time equivalent annual salary using the drop down list or select a different salary in the field below.</t>
        </r>
      </text>
    </comment>
    <comment ref="F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Note: Only use this field if your full-time equivalent earnings are not included in the drop down list in the field above.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Select the Pension Scheme you are due to join. If you are not joining a Scheme, select not in a scheme or leave blank.</t>
        </r>
      </text>
    </comment>
    <comment ref="F1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Note: Insert the hours you work if you work less then 35 hours a week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<sst xmlns="http://schemas.openxmlformats.org/spreadsheetml/2006/main" count="143" uniqueCount="96">
  <si>
    <t>Click here for instructions on how to complete the calculator</t>
  </si>
  <si>
    <t>Basic Information</t>
  </si>
  <si>
    <t>Calculator - General Information</t>
  </si>
  <si>
    <t>25 weeks pregnant</t>
  </si>
  <si>
    <t>26 weeks service</t>
  </si>
  <si>
    <t>Complete the basic information requested in the top 4 input fields. The remainder of the figures are calculated and auto-populated.</t>
  </si>
  <si>
    <t>This calculator is for illustration purposes only and the figures are not guaranteed</t>
  </si>
  <si>
    <t>Sunday before DOJ</t>
  </si>
  <si>
    <t>Saturday after due date</t>
  </si>
  <si>
    <t>Employee information</t>
  </si>
  <si>
    <t>Employer information</t>
  </si>
  <si>
    <t>Employers NI:</t>
  </si>
  <si>
    <t>Apprenticeship Levy:</t>
  </si>
  <si>
    <t>Total package per month:</t>
  </si>
  <si>
    <t>Enter your weekly hours (only if part-time):</t>
  </si>
  <si>
    <t>National Spinal Point</t>
  </si>
  <si>
    <t>or</t>
  </si>
  <si>
    <t>Enter full-time salary of your choice:</t>
  </si>
  <si>
    <t>Scheme</t>
  </si>
  <si>
    <t>SBS</t>
  </si>
  <si>
    <t>NEST</t>
  </si>
  <si>
    <t>USS</t>
  </si>
  <si>
    <t>Not in a Scheme</t>
  </si>
  <si>
    <t>Select pension scheme:</t>
  </si>
  <si>
    <t>EE Contribution rate</t>
  </si>
  <si>
    <t>ER Contribution rate</t>
  </si>
  <si>
    <t>Employee Contribution rate:</t>
  </si>
  <si>
    <t>Employer Contribution rate:</t>
  </si>
  <si>
    <t>PAYE:</t>
  </si>
  <si>
    <t>NI Rate</t>
  </si>
  <si>
    <t>NO NI on:</t>
  </si>
  <si>
    <t>12% on:</t>
  </si>
  <si>
    <t>Monthly NI'able pay</t>
  </si>
  <si>
    <t>NI Rate:</t>
  </si>
  <si>
    <t>Tax Code allowance:</t>
  </si>
  <si>
    <t>Net weekly pay:</t>
  </si>
  <si>
    <t>13.8% on:</t>
  </si>
  <si>
    <t>Total package a year:</t>
  </si>
  <si>
    <t>Part-time pay</t>
  </si>
  <si>
    <t>Full time equivalent monthly pay:</t>
  </si>
  <si>
    <t>Part-time weekly pay</t>
  </si>
  <si>
    <t>Net FTE weekly pay:</t>
  </si>
  <si>
    <t>Select your full time equivalent salary from drop down list:</t>
  </si>
  <si>
    <t>Annual Taxable Pay (FTE)</t>
  </si>
  <si>
    <t>Annual Taxable Pay (PART_TIME)</t>
  </si>
  <si>
    <t>Monthly Taxable Pay (FTE)</t>
  </si>
  <si>
    <t>Monthly Taxable Pay (PT)</t>
  </si>
  <si>
    <t>Estimated net monthly pay:</t>
  </si>
  <si>
    <t xml:space="preserve">The pension scheme calculations assume that you are a member of the Scheme you have selected and that you pay your contributions via salary sacrifice. </t>
  </si>
  <si>
    <t>Income Tax</t>
  </si>
  <si>
    <t>Lower</t>
  </si>
  <si>
    <t>Upper</t>
  </si>
  <si>
    <t>Rate</t>
  </si>
  <si>
    <t>Income tax bands expressed in monthly amounts</t>
  </si>
  <si>
    <t>Personal Allowance</t>
  </si>
  <si>
    <t>Bands assume a standard personal allowance applies.</t>
  </si>
  <si>
    <t>Intro Rate</t>
  </si>
  <si>
    <t>Lower Rate</t>
  </si>
  <si>
    <t>Standard Rate</t>
  </si>
  <si>
    <t>Higher Rate</t>
  </si>
  <si>
    <t>Additional Rate</t>
  </si>
  <si>
    <t>Model is unreliable for income &gt; £100,000 due to withdrawl of personal allowances</t>
  </si>
  <si>
    <t>Contracted OUT</t>
  </si>
  <si>
    <t>Contracted IN</t>
  </si>
  <si>
    <t>NI</t>
  </si>
  <si>
    <t>E'ees</t>
  </si>
  <si>
    <t>E'ers</t>
  </si>
  <si>
    <t>&lt; LEL</t>
  </si>
  <si>
    <t>&gt;LEL &lt; PT</t>
  </si>
  <si>
    <t>&gt; PT &lt; ST</t>
  </si>
  <si>
    <t>&gt; PT &lt; UEL</t>
  </si>
  <si>
    <t>&gt; ST&lt;UEL</t>
  </si>
  <si>
    <t>&gt;UEL</t>
  </si>
  <si>
    <t>Net pay less pension deduction:</t>
  </si>
  <si>
    <t>Superannuation</t>
  </si>
  <si>
    <t>UOE Scale Point</t>
  </si>
  <si>
    <t>Before April 11</t>
  </si>
  <si>
    <t>Part-time monthly pay (if applicable):</t>
  </si>
  <si>
    <t>If you are part-time, insert your part-time hours (leave blank if full-time). The salary you should enter is your full-time equivalent salary. The calculator will pro-rate your earnings accordingly once you input your part-time hours.</t>
  </si>
  <si>
    <t>Employers pension deduction:</t>
  </si>
  <si>
    <t>National Insurance deduction:</t>
  </si>
  <si>
    <t>Pension deduction:</t>
  </si>
  <si>
    <t>There are notes/comments provided throughout the calculator to assist you. Please hover the mouse over the input fields to view the comments.</t>
  </si>
  <si>
    <t>This calculator should not been used if you are employed on a guaranteed hours (GH) contract, fractional or annualised contract.</t>
  </si>
  <si>
    <t>If you are having difficulty viewing this calculator, you can increase/decrease the size of the page by adjusting the +/- slider in the bottom right hand corner of the page.</t>
  </si>
  <si>
    <t>The outcomes from the calculator are for illustration purposes only.</t>
  </si>
  <si>
    <t>Net Salary Calculator</t>
  </si>
  <si>
    <t>Net Salary Calculator - General Information</t>
  </si>
  <si>
    <r>
      <t xml:space="preserve">
</t>
    </r>
    <r>
      <rPr>
        <sz val="14"/>
        <color theme="1"/>
        <rFont val="Calibri"/>
        <family val="2"/>
        <scheme val="minor"/>
      </rPr>
      <t>If you require this document in an alternative format please contact HRHelpline@ed.ac.uk
or call 0131 651 5151</t>
    </r>
    <r>
      <rPr>
        <sz val="11"/>
        <color theme="1"/>
        <rFont val="Calibri"/>
        <family val="2"/>
        <scheme val="minor"/>
      </rPr>
      <t xml:space="preserve">
</t>
    </r>
  </si>
  <si>
    <t>Net Salary Calculator is based on current pension, Tax and NI rates with a personal tax code allowance of 'S1257L'</t>
  </si>
  <si>
    <t>Actual Annual Salary</t>
  </si>
  <si>
    <t>Advanced</t>
  </si>
  <si>
    <t>Full-Time Salary from 1 March 2025</t>
  </si>
  <si>
    <t>https://www.mygov.scot/scottish-income-tax/current-income-tax-rates</t>
  </si>
  <si>
    <t>If you are employed in more than 1 post, please enter your combined actual salary as the full time salary of choice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</si>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</sst>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  <numFmt numFmtId="166" formatCode="0.0%"/>
  </numFmts>
  <fonts count="37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2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36"/>
      <name val="Calibri"/>
      <family val="2"/>
      <scheme val="minor"/>
    </font>
    <font>
      <u/>
      <sz val="2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5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rgb="FF3F3F3F"/>
      </right>
      <top/>
      <bottom/>
      <diagonal/>
    </border>
    <border>
      <left/>
      <right/>
      <top style="thin">
        <color rgb="FF7F7F7F"/>
      </top>
      <bottom style="medium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8" fillId="7" borderId="1" applyNumberFormat="0" applyAlignment="0" applyProtection="0"/>
  </cellStyleXfs>
  <cellXfs count="174">
    <xf numFmtId="0" fontId="0" fillId="0" borderId="0" xfId="0"/>
    <xf numFmtId="0" fontId="10" fillId="0" borderId="0" xfId="0" applyFont="1" applyProtection="1"/>
    <xf numFmtId="0" fontId="10" fillId="0" borderId="0" xfId="0" applyFont="1" applyAlignment="1" applyProtection="1">
      <alignment wrapText="1"/>
    </xf>
    <xf numFmtId="0" fontId="10" fillId="0" borderId="0" xfId="0" applyFont="1" applyBorder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7" fillId="0" borderId="0" xfId="0" applyFont="1" applyBorder="1" applyProtection="1"/>
    <xf numFmtId="0" fontId="5" fillId="0" borderId="0" xfId="0" applyFont="1" applyFill="1" applyBorder="1" applyProtection="1"/>
    <xf numFmtId="0" fontId="9" fillId="0" borderId="3" xfId="0" applyFont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0" fontId="13" fillId="0" borderId="0" xfId="4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14" fontId="5" fillId="7" borderId="15" xfId="5" applyNumberFormat="1" applyFont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164" fontId="5" fillId="7" borderId="15" xfId="5" applyNumberFormat="1" applyFont="1" applyBorder="1" applyAlignment="1" applyProtection="1">
      <alignment horizontal="center" wrapText="1"/>
      <protection locked="0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Protection="1"/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1" fontId="14" fillId="0" borderId="0" xfId="2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Protection="1"/>
    <xf numFmtId="0" fontId="18" fillId="6" borderId="0" xfId="0" applyFont="1" applyFill="1" applyBorder="1" applyProtection="1"/>
    <xf numFmtId="0" fontId="19" fillId="6" borderId="0" xfId="0" applyFont="1" applyFill="1" applyBorder="1" applyProtection="1"/>
    <xf numFmtId="0" fontId="18" fillId="0" borderId="0" xfId="0" applyFont="1" applyFill="1" applyBorder="1" applyProtection="1"/>
    <xf numFmtId="164" fontId="18" fillId="6" borderId="0" xfId="0" applyNumberFormat="1" applyFont="1" applyFill="1" applyBorder="1" applyProtection="1"/>
    <xf numFmtId="0" fontId="18" fillId="6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wrapText="1"/>
    </xf>
    <xf numFmtId="14" fontId="19" fillId="6" borderId="0" xfId="0" applyNumberFormat="1" applyFont="1" applyFill="1" applyBorder="1" applyProtection="1"/>
    <xf numFmtId="14" fontId="18" fillId="6" borderId="0" xfId="0" applyNumberFormat="1" applyFont="1" applyFill="1" applyBorder="1" applyProtection="1"/>
    <xf numFmtId="0" fontId="18" fillId="0" borderId="0" xfId="0" applyFont="1" applyBorder="1" applyProtection="1"/>
    <xf numFmtId="0" fontId="19" fillId="6" borderId="0" xfId="0" applyFont="1" applyFill="1" applyBorder="1" applyAlignment="1" applyProtection="1">
      <alignment wrapText="1"/>
    </xf>
    <xf numFmtId="0" fontId="22" fillId="6" borderId="0" xfId="0" applyFont="1" applyFill="1" applyBorder="1" applyProtection="1"/>
    <xf numFmtId="0" fontId="22" fillId="0" borderId="0" xfId="0" applyFont="1" applyBorder="1" applyProtection="1"/>
    <xf numFmtId="2" fontId="18" fillId="6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23" fillId="0" borderId="0" xfId="0" applyFont="1" applyAlignment="1">
      <alignment horizontal="center" vertical="center" wrapText="1"/>
    </xf>
    <xf numFmtId="0" fontId="23" fillId="0" borderId="0" xfId="0" applyFont="1"/>
    <xf numFmtId="165" fontId="23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3" fontId="23" fillId="0" borderId="0" xfId="0" applyNumberFormat="1" applyFont="1" applyAlignment="1">
      <alignment vertical="top"/>
    </xf>
    <xf numFmtId="164" fontId="23" fillId="0" borderId="0" xfId="0" applyNumberFormat="1" applyFont="1"/>
    <xf numFmtId="10" fontId="23" fillId="0" borderId="0" xfId="0" applyNumberFormat="1" applyFont="1"/>
    <xf numFmtId="0" fontId="23" fillId="0" borderId="19" xfId="0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10" fillId="0" borderId="0" xfId="0" applyFont="1"/>
    <xf numFmtId="164" fontId="17" fillId="2" borderId="15" xfId="1" applyNumberFormat="1" applyFont="1" applyBorder="1" applyAlignment="1" applyProtection="1">
      <alignment horizontal="center" vertical="center"/>
    </xf>
    <xf numFmtId="166" fontId="23" fillId="0" borderId="0" xfId="0" applyNumberFormat="1" applyFont="1"/>
    <xf numFmtId="166" fontId="23" fillId="0" borderId="0" xfId="0" applyNumberFormat="1" applyFont="1" applyAlignment="1">
      <alignment vertical="top"/>
    </xf>
    <xf numFmtId="0" fontId="26" fillId="0" borderId="0" xfId="0" applyFont="1" applyFill="1" applyBorder="1" applyAlignment="1" applyProtection="1">
      <alignment horizontal="left"/>
    </xf>
    <xf numFmtId="164" fontId="17" fillId="2" borderId="15" xfId="1" applyNumberFormat="1" applyFont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left"/>
    </xf>
    <xf numFmtId="166" fontId="27" fillId="2" borderId="15" xfId="1" applyNumberFormat="1" applyFont="1" applyBorder="1" applyAlignment="1" applyProtection="1">
      <alignment horizontal="center"/>
    </xf>
    <xf numFmtId="0" fontId="26" fillId="0" borderId="0" xfId="0" applyFont="1" applyFill="1" applyBorder="1" applyProtection="1"/>
    <xf numFmtId="0" fontId="25" fillId="0" borderId="0" xfId="0" applyFont="1" applyFill="1" applyBorder="1" applyProtection="1"/>
    <xf numFmtId="0" fontId="25" fillId="0" borderId="0" xfId="0" applyFont="1" applyFill="1" applyBorder="1" applyAlignment="1" applyProtection="1">
      <alignment horizontal="center"/>
    </xf>
    <xf numFmtId="164" fontId="14" fillId="0" borderId="0" xfId="0" applyNumberFormat="1" applyFont="1" applyFill="1" applyBorder="1" applyAlignment="1" applyProtection="1">
      <alignment horizontal="center"/>
    </xf>
    <xf numFmtId="14" fontId="2" fillId="0" borderId="0" xfId="2" applyNumberFormat="1" applyFill="1" applyBorder="1" applyAlignment="1" applyProtection="1">
      <alignment horizontal="center" vertical="center"/>
    </xf>
    <xf numFmtId="9" fontId="27" fillId="0" borderId="0" xfId="1" applyNumberFormat="1" applyFont="1" applyFill="1" applyBorder="1" applyAlignment="1" applyProtection="1">
      <alignment horizontal="center"/>
    </xf>
    <xf numFmtId="164" fontId="27" fillId="0" borderId="0" xfId="1" applyNumberFormat="1" applyFont="1" applyFill="1" applyBorder="1" applyAlignment="1" applyProtection="1">
      <alignment horizontal="center"/>
    </xf>
    <xf numFmtId="164" fontId="27" fillId="2" borderId="1" xfId="1" applyNumberFormat="1" applyFont="1" applyBorder="1" applyAlignment="1" applyProtection="1">
      <alignment horizontal="center"/>
    </xf>
    <xf numFmtId="6" fontId="27" fillId="2" borderId="1" xfId="1" applyNumberFormat="1" applyFont="1" applyBorder="1" applyAlignment="1" applyProtection="1">
      <alignment horizontal="center"/>
    </xf>
    <xf numFmtId="0" fontId="17" fillId="0" borderId="0" xfId="2" applyFont="1" applyFill="1" applyBorder="1" applyAlignment="1" applyProtection="1">
      <alignment horizontal="center"/>
    </xf>
    <xf numFmtId="164" fontId="1" fillId="0" borderId="0" xfId="1" applyNumberFormat="1" applyFill="1" applyBorder="1" applyAlignment="1" applyProtection="1">
      <alignment horizontal="center"/>
    </xf>
    <xf numFmtId="164" fontId="17" fillId="0" borderId="0" xfId="1" applyNumberFormat="1" applyFont="1" applyFill="1" applyBorder="1" applyAlignment="1" applyProtection="1">
      <alignment horizontal="center" vertical="center"/>
    </xf>
    <xf numFmtId="2" fontId="5" fillId="7" borderId="15" xfId="5" applyNumberFormat="1" applyFont="1" applyBorder="1" applyAlignment="1" applyProtection="1">
      <alignment horizontal="center" wrapText="1"/>
      <protection locked="0"/>
    </xf>
    <xf numFmtId="164" fontId="27" fillId="2" borderId="3" xfId="1" applyNumberFormat="1" applyFont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2" fillId="0" borderId="0" xfId="2" applyFill="1" applyBorder="1" applyProtection="1"/>
    <xf numFmtId="9" fontId="2" fillId="0" borderId="0" xfId="2" applyNumberFormat="1" applyFill="1" applyBorder="1" applyAlignment="1" applyProtection="1">
      <alignment horizontal="center"/>
    </xf>
    <xf numFmtId="0" fontId="30" fillId="0" borderId="0" xfId="0" applyFont="1"/>
    <xf numFmtId="2" fontId="0" fillId="0" borderId="0" xfId="0" applyNumberFormat="1"/>
    <xf numFmtId="10" fontId="0" fillId="0" borderId="0" xfId="0" applyNumberFormat="1"/>
    <xf numFmtId="0" fontId="14" fillId="0" borderId="22" xfId="0" applyFont="1" applyFill="1" applyBorder="1" applyAlignment="1" applyProtection="1">
      <alignment horizontal="left" vertical="center"/>
    </xf>
    <xf numFmtId="0" fontId="7" fillId="0" borderId="23" xfId="0" applyFont="1" applyFill="1" applyBorder="1" applyProtection="1"/>
    <xf numFmtId="0" fontId="14" fillId="0" borderId="22" xfId="0" applyFont="1" applyFill="1" applyBorder="1" applyAlignment="1" applyProtection="1"/>
    <xf numFmtId="2" fontId="1" fillId="2" borderId="1" xfId="1" applyNumberFormat="1" applyBorder="1" applyAlignment="1" applyProtection="1">
      <alignment horizontal="center" vertical="center"/>
    </xf>
    <xf numFmtId="0" fontId="11" fillId="0" borderId="23" xfId="0" applyFont="1" applyFill="1" applyBorder="1" applyProtection="1"/>
    <xf numFmtId="0" fontId="27" fillId="2" borderId="1" xfId="1" applyFont="1" applyBorder="1" applyAlignment="1" applyProtection="1">
      <alignment horizontal="center"/>
    </xf>
    <xf numFmtId="0" fontId="14" fillId="0" borderId="22" xfId="0" applyFont="1" applyFill="1" applyBorder="1" applyAlignment="1" applyProtection="1">
      <alignment horizontal="center"/>
    </xf>
    <xf numFmtId="0" fontId="5" fillId="0" borderId="23" xfId="0" applyFont="1" applyFill="1" applyBorder="1" applyProtection="1"/>
    <xf numFmtId="0" fontId="14" fillId="0" borderId="22" xfId="0" applyFont="1" applyFill="1" applyBorder="1" applyAlignment="1" applyProtection="1">
      <alignment horizontal="left"/>
    </xf>
    <xf numFmtId="164" fontId="1" fillId="2" borderId="1" xfId="1" applyNumberFormat="1" applyBorder="1" applyAlignment="1" applyProtection="1">
      <alignment horizontal="center"/>
    </xf>
    <xf numFmtId="8" fontId="27" fillId="2" borderId="1" xfId="1" applyNumberFormat="1" applyFont="1" applyBorder="1" applyAlignment="1" applyProtection="1">
      <alignment horizontal="center"/>
    </xf>
    <xf numFmtId="0" fontId="14" fillId="0" borderId="22" xfId="0" applyFont="1" applyFill="1" applyBorder="1" applyAlignment="1" applyProtection="1">
      <alignment vertical="center"/>
    </xf>
    <xf numFmtId="164" fontId="16" fillId="3" borderId="2" xfId="2" applyNumberFormat="1" applyFont="1" applyBorder="1" applyAlignment="1" applyProtection="1">
      <alignment horizontal="center" vertical="center"/>
    </xf>
    <xf numFmtId="0" fontId="2" fillId="0" borderId="23" xfId="2" applyFill="1" applyBorder="1" applyProtection="1"/>
    <xf numFmtId="0" fontId="14" fillId="0" borderId="22" xfId="0" applyFont="1" applyFill="1" applyBorder="1" applyAlignment="1" applyProtection="1">
      <alignment horizontal="left" vertical="center" wrapText="1"/>
    </xf>
    <xf numFmtId="165" fontId="1" fillId="2" borderId="1" xfId="1" applyNumberFormat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/>
    <xf numFmtId="164" fontId="16" fillId="3" borderId="2" xfId="2" applyNumberFormat="1" applyFont="1" applyBorder="1" applyAlignment="1" applyProtection="1">
      <alignment horizontal="center"/>
    </xf>
    <xf numFmtId="166" fontId="1" fillId="2" borderId="1" xfId="1" applyNumberFormat="1" applyBorder="1" applyAlignment="1" applyProtection="1">
      <alignment horizontal="center"/>
    </xf>
    <xf numFmtId="0" fontId="5" fillId="0" borderId="8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5" fillId="0" borderId="14" xfId="0" applyFont="1" applyFill="1" applyBorder="1" applyAlignment="1" applyProtection="1">
      <alignment vertical="top" wrapText="1"/>
    </xf>
    <xf numFmtId="0" fontId="26" fillId="0" borderId="14" xfId="0" applyFont="1" applyFill="1" applyBorder="1" applyProtection="1"/>
    <xf numFmtId="0" fontId="25" fillId="0" borderId="14" xfId="0" applyFont="1" applyFill="1" applyBorder="1" applyProtection="1"/>
    <xf numFmtId="166" fontId="1" fillId="0" borderId="31" xfId="1" applyNumberFormat="1" applyFill="1" applyBorder="1" applyAlignment="1" applyProtection="1">
      <alignment horizontal="center"/>
    </xf>
    <xf numFmtId="0" fontId="5" fillId="0" borderId="9" xfId="0" applyFont="1" applyBorder="1" applyProtection="1"/>
    <xf numFmtId="0" fontId="5" fillId="6" borderId="0" xfId="0" applyFont="1" applyFill="1" applyBorder="1" applyProtection="1"/>
    <xf numFmtId="6" fontId="34" fillId="0" borderId="3" xfId="0" applyNumberFormat="1" applyFont="1" applyBorder="1" applyAlignment="1">
      <alignment horizontal="center"/>
    </xf>
    <xf numFmtId="165" fontId="23" fillId="0" borderId="0" xfId="0" applyNumberFormat="1" applyFont="1" applyAlignment="1">
      <alignment horizontal="left" vertical="center"/>
    </xf>
    <xf numFmtId="164" fontId="35" fillId="0" borderId="15" xfId="0" applyNumberFormat="1" applyFont="1" applyFill="1" applyBorder="1" applyAlignment="1" applyProtection="1">
      <alignment horizontal="center"/>
    </xf>
    <xf numFmtId="164" fontId="35" fillId="0" borderId="15" xfId="0" applyNumberFormat="1" applyFont="1" applyBorder="1" applyAlignment="1">
      <alignment horizontal="center" vertical="center"/>
    </xf>
    <xf numFmtId="17" fontId="14" fillId="0" borderId="0" xfId="0" quotePrefix="1" applyNumberFormat="1" applyFont="1" applyBorder="1" applyAlignment="1" applyProtection="1">
      <alignment horizontal="left"/>
    </xf>
    <xf numFmtId="0" fontId="32" fillId="5" borderId="6" xfId="0" applyFont="1" applyFill="1" applyBorder="1" applyAlignment="1" applyProtection="1">
      <alignment horizontal="center" vertical="center"/>
    </xf>
    <xf numFmtId="0" fontId="32" fillId="5" borderId="13" xfId="0" applyFont="1" applyFill="1" applyBorder="1" applyAlignment="1" applyProtection="1">
      <alignment horizontal="center" vertical="center"/>
    </xf>
    <xf numFmtId="0" fontId="32" fillId="5" borderId="7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17" xfId="0" applyFont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left" vertical="center" wrapText="1"/>
    </xf>
    <xf numFmtId="0" fontId="10" fillId="0" borderId="1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17" xfId="0" applyFont="1" applyBorder="1" applyAlignment="1" applyProtection="1">
      <alignment vertical="center" wrapText="1"/>
    </xf>
    <xf numFmtId="0" fontId="9" fillId="5" borderId="4" xfId="0" applyFont="1" applyFill="1" applyBorder="1" applyAlignment="1" applyProtection="1">
      <alignment horizontal="center"/>
    </xf>
    <xf numFmtId="0" fontId="9" fillId="5" borderId="16" xfId="0" applyFont="1" applyFill="1" applyBorder="1" applyAlignment="1" applyProtection="1">
      <alignment horizontal="center"/>
    </xf>
    <xf numFmtId="0" fontId="10" fillId="6" borderId="17" xfId="0" applyFont="1" applyFill="1" applyBorder="1" applyAlignment="1" applyProtection="1">
      <alignment horizontal="left" vertical="center" wrapText="1"/>
    </xf>
    <xf numFmtId="0" fontId="10" fillId="6" borderId="12" xfId="0" applyFont="1" applyFill="1" applyBorder="1" applyAlignment="1" applyProtection="1">
      <alignment horizontal="left" vertical="center" wrapText="1"/>
    </xf>
    <xf numFmtId="0" fontId="10" fillId="6" borderId="20" xfId="0" applyFont="1" applyFill="1" applyBorder="1" applyAlignment="1" applyProtection="1">
      <alignment horizontal="left" vertical="center" wrapText="1"/>
    </xf>
    <xf numFmtId="0" fontId="9" fillId="5" borderId="17" xfId="0" applyFont="1" applyFill="1" applyBorder="1" applyAlignment="1" applyProtection="1">
      <alignment horizontal="left"/>
    </xf>
    <xf numFmtId="0" fontId="9" fillId="5" borderId="12" xfId="0" applyFont="1" applyFill="1" applyBorder="1" applyAlignment="1" applyProtection="1">
      <alignment horizontal="left"/>
    </xf>
    <xf numFmtId="0" fontId="9" fillId="5" borderId="20" xfId="0" applyFont="1" applyFill="1" applyBorder="1" applyAlignment="1" applyProtection="1">
      <alignment horizontal="left"/>
    </xf>
    <xf numFmtId="0" fontId="8" fillId="7" borderId="1" xfId="5" applyAlignment="1" applyProtection="1">
      <alignment vertical="center" wrapText="1"/>
    </xf>
    <xf numFmtId="0" fontId="19" fillId="6" borderId="0" xfId="0" applyFont="1" applyFill="1" applyBorder="1" applyAlignment="1" applyProtection="1">
      <alignment horizont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22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12" fillId="5" borderId="23" xfId="0" applyFont="1" applyFill="1" applyBorder="1" applyAlignment="1" applyProtection="1">
      <alignment horizontal="center" vertical="center" wrapText="1"/>
    </xf>
    <xf numFmtId="0" fontId="12" fillId="5" borderId="8" xfId="0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 applyProtection="1">
      <alignment horizontal="center" vertical="center" wrapText="1"/>
    </xf>
    <xf numFmtId="0" fontId="12" fillId="5" borderId="9" xfId="0" applyFont="1" applyFill="1" applyBorder="1" applyAlignment="1" applyProtection="1">
      <alignment horizontal="center" vertical="center" wrapText="1"/>
    </xf>
    <xf numFmtId="0" fontId="14" fillId="5" borderId="26" xfId="0" applyFont="1" applyFill="1" applyBorder="1" applyAlignment="1" applyProtection="1">
      <alignment horizontal="center" vertical="center"/>
    </xf>
    <xf numFmtId="0" fontId="14" fillId="5" borderId="12" xfId="0" applyFont="1" applyFill="1" applyBorder="1" applyAlignment="1" applyProtection="1">
      <alignment horizontal="center" vertical="center"/>
    </xf>
    <xf numFmtId="0" fontId="14" fillId="5" borderId="27" xfId="0" applyFont="1" applyFill="1" applyBorder="1" applyAlignment="1" applyProtection="1">
      <alignment horizontal="center" vertical="center"/>
    </xf>
    <xf numFmtId="0" fontId="14" fillId="5" borderId="24" xfId="0" applyFont="1" applyFill="1" applyBorder="1" applyAlignment="1" applyProtection="1">
      <alignment horizontal="center" vertical="center"/>
    </xf>
    <xf numFmtId="0" fontId="14" fillId="5" borderId="21" xfId="0" applyFont="1" applyFill="1" applyBorder="1" applyAlignment="1" applyProtection="1">
      <alignment horizontal="center" vertical="center"/>
    </xf>
    <xf numFmtId="0" fontId="14" fillId="5" borderId="25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16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21" fillId="0" borderId="26" xfId="0" applyFont="1" applyBorder="1" applyAlignment="1" applyProtection="1">
      <alignment horizontal="center"/>
    </xf>
    <xf numFmtId="0" fontId="21" fillId="0" borderId="12" xfId="0" applyFont="1" applyBorder="1" applyAlignment="1" applyProtection="1">
      <alignment horizontal="center"/>
    </xf>
    <xf numFmtId="0" fontId="21" fillId="0" borderId="27" xfId="0" applyFont="1" applyBorder="1" applyAlignment="1" applyProtection="1">
      <alignment horizontal="center"/>
    </xf>
    <xf numFmtId="0" fontId="33" fillId="6" borderId="24" xfId="4" applyFont="1" applyFill="1" applyBorder="1" applyAlignment="1" applyProtection="1">
      <alignment horizontal="left"/>
      <protection locked="0"/>
    </xf>
    <xf numFmtId="0" fontId="33" fillId="6" borderId="21" xfId="4" applyFont="1" applyFill="1" applyBorder="1" applyAlignment="1" applyProtection="1">
      <alignment horizontal="left"/>
      <protection locked="0"/>
    </xf>
    <xf numFmtId="0" fontId="33" fillId="6" borderId="25" xfId="4" applyFont="1" applyFill="1" applyBorder="1" applyAlignment="1" applyProtection="1">
      <alignment horizontal="left"/>
      <protection locked="0"/>
    </xf>
    <xf numFmtId="0" fontId="31" fillId="0" borderId="22" xfId="0" applyFont="1" applyBorder="1" applyProtection="1"/>
    <xf numFmtId="0" fontId="31" fillId="0" borderId="0" xfId="0" applyFont="1" applyBorder="1" applyProtection="1"/>
    <xf numFmtId="0" fontId="31" fillId="0" borderId="30" xfId="0" applyFont="1" applyBorder="1" applyProtection="1"/>
    <xf numFmtId="0" fontId="23" fillId="0" borderId="1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</cellXfs>
  <cellStyles count="6">
    <cellStyle name="Calculation" xfId="1" builtinId="22"/>
    <cellStyle name="Check Cell" xfId="2" builtinId="23"/>
    <cellStyle name="Good" xfId="3" builtinId="26"/>
    <cellStyle name="Hyperlink" xfId="4" builtinId="8"/>
    <cellStyle name="Input" xfId="5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0</xdr:rowOff>
    </xdr:from>
    <xdr:to>
      <xdr:col>1</xdr:col>
      <xdr:colOff>1684866</xdr:colOff>
      <xdr:row>5</xdr:row>
      <xdr:rowOff>446615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0"/>
          <a:ext cx="1671108" cy="1617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25</xdr:col>
      <xdr:colOff>486779</xdr:colOff>
      <xdr:row>23</xdr:row>
      <xdr:rowOff>29160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D74CB-E59D-4744-8B32-7C07EE629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0"/>
          <a:ext cx="7192379" cy="4191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O16"/>
  <sheetViews>
    <sheetView showGridLines="0" workbookViewId="0">
      <selection activeCell="C7" sqref="C7:D7"/>
    </sheetView>
  </sheetViews>
  <sheetFormatPr defaultColWidth="0" defaultRowHeight="15.5" zeroHeight="1" x14ac:dyDescent="0.35"/>
  <cols>
    <col min="1" max="1" width="2.453125" style="1" customWidth="1"/>
    <col min="2" max="2" width="15.1796875" style="1" customWidth="1"/>
    <col min="3" max="3" width="52" style="2" customWidth="1"/>
    <col min="4" max="4" width="72.453125" style="1" customWidth="1"/>
    <col min="5" max="5" width="9.1796875" style="1" customWidth="1"/>
    <col min="6" max="15" width="0" style="1" hidden="1" customWidth="1"/>
    <col min="16" max="16384" width="9.1796875" style="1" hidden="1"/>
  </cols>
  <sheetData>
    <row r="1" spans="1:15" ht="64.5" customHeight="1" thickBot="1" x14ac:dyDescent="0.4">
      <c r="B1" s="115" t="s">
        <v>86</v>
      </c>
      <c r="C1" s="116"/>
      <c r="D1" s="117"/>
    </row>
    <row r="2" spans="1:15" x14ac:dyDescent="0.35">
      <c r="B2" s="131" t="s">
        <v>87</v>
      </c>
      <c r="C2" s="132"/>
      <c r="D2" s="132"/>
    </row>
    <row r="3" spans="1:15" ht="33" customHeight="1" x14ac:dyDescent="0.35">
      <c r="B3" s="133" t="s">
        <v>89</v>
      </c>
      <c r="C3" s="134"/>
      <c r="D3" s="135"/>
    </row>
    <row r="4" spans="1:15" s="4" customFormat="1" x14ac:dyDescent="0.35">
      <c r="A4" s="3"/>
      <c r="B4" s="136" t="s">
        <v>2</v>
      </c>
      <c r="C4" s="137"/>
      <c r="D4" s="138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4" customFormat="1" ht="25.5" customHeight="1" x14ac:dyDescent="0.35">
      <c r="B5" s="8">
        <v>1</v>
      </c>
      <c r="C5" s="139" t="s">
        <v>5</v>
      </c>
      <c r="D5" s="139"/>
    </row>
    <row r="6" spans="1:15" s="4" customFormat="1" ht="42" customHeight="1" x14ac:dyDescent="0.35">
      <c r="B6" s="8">
        <v>2</v>
      </c>
      <c r="C6" s="126" t="s">
        <v>82</v>
      </c>
      <c r="D6" s="127"/>
    </row>
    <row r="7" spans="1:15" s="4" customFormat="1" ht="33" customHeight="1" x14ac:dyDescent="0.35">
      <c r="B7" s="8">
        <v>3</v>
      </c>
      <c r="C7" s="126" t="s">
        <v>83</v>
      </c>
      <c r="D7" s="127"/>
    </row>
    <row r="8" spans="1:15" s="4" customFormat="1" ht="33" customHeight="1" x14ac:dyDescent="0.35">
      <c r="B8" s="8">
        <v>4</v>
      </c>
      <c r="C8" s="128" t="s">
        <v>94</v>
      </c>
      <c r="D8" s="129"/>
    </row>
    <row r="9" spans="1:15" s="4" customFormat="1" ht="50.25" customHeight="1" x14ac:dyDescent="0.35">
      <c r="B9" s="8">
        <v>5</v>
      </c>
      <c r="C9" s="130" t="s">
        <v>78</v>
      </c>
      <c r="D9" s="125"/>
    </row>
    <row r="10" spans="1:15" s="4" customFormat="1" ht="50.25" customHeight="1" x14ac:dyDescent="0.35">
      <c r="B10" s="8">
        <v>6</v>
      </c>
      <c r="C10" s="126" t="s">
        <v>48</v>
      </c>
      <c r="D10" s="127"/>
    </row>
    <row r="11" spans="1:15" s="4" customFormat="1" ht="50.25" customHeight="1" x14ac:dyDescent="0.35">
      <c r="B11" s="8">
        <v>7</v>
      </c>
      <c r="C11" s="126" t="s">
        <v>84</v>
      </c>
      <c r="D11" s="127"/>
    </row>
    <row r="12" spans="1:15" s="4" customFormat="1" ht="51" customHeight="1" x14ac:dyDescent="0.35">
      <c r="B12" s="8">
        <v>8</v>
      </c>
      <c r="C12" s="124" t="s">
        <v>85</v>
      </c>
      <c r="D12" s="125"/>
    </row>
    <row r="13" spans="1:15" ht="16" thickBot="1" x14ac:dyDescent="0.4"/>
    <row r="14" spans="1:15" ht="12.75" customHeight="1" x14ac:dyDescent="0.35">
      <c r="B14" s="118" t="s">
        <v>88</v>
      </c>
      <c r="C14" s="119"/>
      <c r="D14" s="120"/>
    </row>
    <row r="15" spans="1:15" ht="25.5" customHeight="1" thickBot="1" x14ac:dyDescent="0.4">
      <c r="B15" s="121"/>
      <c r="C15" s="122"/>
      <c r="D15" s="123"/>
    </row>
    <row r="16" spans="1:15" x14ac:dyDescent="0.35"/>
  </sheetData>
  <sheetProtection algorithmName="SHA-512" hashValue="hTbQRru1HC39Nvg/BnPyqFnZKDi9cmEYXkQh6H5Y3A2XRbTt6nnOd1vaYju61tUZaQ7lOOc6T33Z1013a14w1g==" saltValue="ZK9USu3jW1WNy/cNiq5bQg==" spinCount="100000" sheet="1" selectLockedCells="1"/>
  <mergeCells count="13">
    <mergeCell ref="B1:D1"/>
    <mergeCell ref="B14:D15"/>
    <mergeCell ref="C12:D12"/>
    <mergeCell ref="C7:D7"/>
    <mergeCell ref="C8:D8"/>
    <mergeCell ref="C9:D9"/>
    <mergeCell ref="C10:D10"/>
    <mergeCell ref="C6:D6"/>
    <mergeCell ref="B2:D2"/>
    <mergeCell ref="B3:D3"/>
    <mergeCell ref="B4:D4"/>
    <mergeCell ref="C5:D5"/>
    <mergeCell ref="C11:D11"/>
  </mergeCells>
  <pageMargins left="0.31496062992125984" right="1.4960629921259843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61"/>
  <sheetViews>
    <sheetView showGridLines="0" tabSelected="1" zoomScale="80" zoomScaleNormal="80" workbookViewId="0">
      <selection activeCell="F11" sqref="F11"/>
    </sheetView>
  </sheetViews>
  <sheetFormatPr defaultColWidth="0" defaultRowHeight="18.5" zeroHeight="1" x14ac:dyDescent="0.45"/>
  <cols>
    <col min="1" max="1" width="9.453125" style="5" customWidth="1"/>
    <col min="2" max="2" width="69.54296875" style="23" bestFit="1" customWidth="1"/>
    <col min="3" max="3" width="9.54296875" style="23" customWidth="1"/>
    <col min="4" max="4" width="9.54296875" style="5" customWidth="1"/>
    <col min="5" max="5" width="3.453125" style="5" customWidth="1"/>
    <col min="6" max="6" width="24.1796875" style="5" customWidth="1"/>
    <col min="7" max="7" width="10.453125" style="5" customWidth="1"/>
    <col min="8" max="10" width="10.453125" style="5" hidden="1" customWidth="1"/>
    <col min="11" max="11" width="10.453125" style="5" customWidth="1"/>
    <col min="12" max="12" width="9.1796875" style="28" customWidth="1"/>
    <col min="13" max="13" width="43" style="28" hidden="1" customWidth="1"/>
    <col min="14" max="14" width="0.453125" style="28" hidden="1" customWidth="1"/>
    <col min="15" max="15" width="10" style="28" hidden="1" customWidth="1"/>
    <col min="16" max="16" width="12" style="28" hidden="1" customWidth="1"/>
    <col min="17" max="17" width="10.453125" style="28" hidden="1" customWidth="1"/>
    <col min="18" max="18" width="8.54296875" style="28" hidden="1" customWidth="1"/>
    <col min="19" max="19" width="36.81640625" style="36" hidden="1" customWidth="1"/>
    <col min="20" max="16384" width="0" style="5" hidden="1"/>
  </cols>
  <sheetData>
    <row r="1" spans="1:19" x14ac:dyDescent="0.45">
      <c r="A1" s="75"/>
      <c r="B1" s="141" t="s">
        <v>86</v>
      </c>
      <c r="C1" s="142"/>
      <c r="D1" s="142"/>
      <c r="E1" s="142"/>
      <c r="F1" s="142"/>
      <c r="G1" s="142"/>
      <c r="H1" s="142"/>
      <c r="I1" s="142"/>
      <c r="J1" s="142"/>
      <c r="K1" s="143"/>
    </row>
    <row r="2" spans="1:19" x14ac:dyDescent="0.45">
      <c r="A2" s="75"/>
      <c r="B2" s="144"/>
      <c r="C2" s="145"/>
      <c r="D2" s="145"/>
      <c r="E2" s="145"/>
      <c r="F2" s="145"/>
      <c r="G2" s="145"/>
      <c r="H2" s="145"/>
      <c r="I2" s="145"/>
      <c r="J2" s="145"/>
      <c r="K2" s="146"/>
      <c r="P2" s="140"/>
      <c r="Q2" s="140"/>
    </row>
    <row r="3" spans="1:19" x14ac:dyDescent="0.45">
      <c r="A3" s="75"/>
      <c r="B3" s="144"/>
      <c r="C3" s="145"/>
      <c r="D3" s="145"/>
      <c r="E3" s="145"/>
      <c r="F3" s="145"/>
      <c r="G3" s="145"/>
      <c r="H3" s="145"/>
      <c r="I3" s="145"/>
      <c r="J3" s="145"/>
      <c r="K3" s="146"/>
      <c r="L3" s="29"/>
      <c r="M3" s="29"/>
      <c r="N3" s="29"/>
      <c r="O3" s="37"/>
      <c r="P3" s="140"/>
      <c r="Q3" s="140"/>
    </row>
    <row r="4" spans="1:19" x14ac:dyDescent="0.45">
      <c r="A4" s="75"/>
      <c r="B4" s="144"/>
      <c r="C4" s="145"/>
      <c r="D4" s="145"/>
      <c r="E4" s="145"/>
      <c r="F4" s="145"/>
      <c r="G4" s="145"/>
      <c r="H4" s="145"/>
      <c r="I4" s="145"/>
      <c r="J4" s="145"/>
      <c r="K4" s="146"/>
      <c r="L4" s="29"/>
      <c r="M4" s="29"/>
      <c r="N4" s="29"/>
      <c r="O4" s="29"/>
      <c r="P4" s="29"/>
      <c r="Q4" s="29"/>
    </row>
    <row r="5" spans="1:19" x14ac:dyDescent="0.45">
      <c r="A5" s="75"/>
      <c r="B5" s="144"/>
      <c r="C5" s="145"/>
      <c r="D5" s="145"/>
      <c r="E5" s="145"/>
      <c r="F5" s="145"/>
      <c r="G5" s="145"/>
      <c r="H5" s="145"/>
      <c r="I5" s="145"/>
      <c r="J5" s="145"/>
      <c r="K5" s="146"/>
      <c r="L5" s="29"/>
      <c r="M5" s="29"/>
      <c r="N5" s="29"/>
      <c r="O5" s="29"/>
      <c r="P5" s="29"/>
      <c r="Q5" s="29"/>
    </row>
    <row r="6" spans="1:19" ht="36" customHeight="1" thickBot="1" x14ac:dyDescent="0.5">
      <c r="A6" s="75"/>
      <c r="B6" s="147"/>
      <c r="C6" s="148"/>
      <c r="D6" s="148"/>
      <c r="E6" s="148"/>
      <c r="F6" s="148"/>
      <c r="G6" s="148"/>
      <c r="H6" s="148"/>
      <c r="I6" s="148"/>
      <c r="J6" s="148"/>
      <c r="K6" s="149"/>
      <c r="L6" s="29"/>
      <c r="M6" s="29"/>
      <c r="N6" s="29"/>
      <c r="O6" s="29"/>
      <c r="P6" s="29"/>
      <c r="Q6" s="29"/>
    </row>
    <row r="7" spans="1:19" ht="26" x14ac:dyDescent="0.6">
      <c r="A7" s="75"/>
      <c r="B7" s="162" t="s">
        <v>0</v>
      </c>
      <c r="C7" s="163"/>
      <c r="D7" s="163"/>
      <c r="E7" s="163"/>
      <c r="F7" s="163"/>
      <c r="G7" s="163"/>
      <c r="H7" s="163"/>
      <c r="I7" s="163"/>
      <c r="J7" s="163"/>
      <c r="K7" s="164"/>
      <c r="L7" s="29"/>
      <c r="M7" s="29"/>
      <c r="N7" s="29"/>
      <c r="O7" s="29"/>
      <c r="P7" s="29"/>
      <c r="Q7" s="29"/>
    </row>
    <row r="8" spans="1:19" s="6" customFormat="1" ht="26" x14ac:dyDescent="0.6">
      <c r="B8" s="159" t="s">
        <v>6</v>
      </c>
      <c r="C8" s="160"/>
      <c r="D8" s="160"/>
      <c r="E8" s="160"/>
      <c r="F8" s="160"/>
      <c r="G8" s="160"/>
      <c r="H8" s="160"/>
      <c r="I8" s="160"/>
      <c r="J8" s="160"/>
      <c r="K8" s="161"/>
      <c r="L8" s="29"/>
      <c r="M8" s="29"/>
      <c r="N8" s="29"/>
      <c r="O8" s="29"/>
      <c r="P8" s="29"/>
      <c r="Q8" s="29"/>
      <c r="R8" s="38"/>
      <c r="S8" s="39"/>
    </row>
    <row r="9" spans="1:19" s="6" customFormat="1" ht="26" x14ac:dyDescent="0.6">
      <c r="B9" s="150" t="s">
        <v>1</v>
      </c>
      <c r="C9" s="151"/>
      <c r="D9" s="151"/>
      <c r="E9" s="151"/>
      <c r="F9" s="151"/>
      <c r="G9" s="151"/>
      <c r="H9" s="151"/>
      <c r="I9" s="151"/>
      <c r="J9" s="151"/>
      <c r="K9" s="152"/>
      <c r="L9" s="29"/>
      <c r="M9" s="29"/>
      <c r="N9" s="29"/>
      <c r="O9" s="29"/>
      <c r="P9" s="29"/>
      <c r="Q9" s="29"/>
      <c r="R9" s="38"/>
      <c r="S9" s="39"/>
    </row>
    <row r="10" spans="1:19" s="6" customFormat="1" ht="26.5" thickBot="1" x14ac:dyDescent="0.65">
      <c r="B10" s="81"/>
      <c r="C10" s="10"/>
      <c r="D10" s="11"/>
      <c r="E10" s="11"/>
      <c r="F10" s="11"/>
      <c r="G10" s="11"/>
      <c r="H10" s="12"/>
      <c r="I10" s="12"/>
      <c r="J10" s="12"/>
      <c r="K10" s="82"/>
      <c r="L10" s="29"/>
      <c r="M10" s="29"/>
      <c r="N10" s="29"/>
      <c r="O10" s="29"/>
      <c r="P10" s="29"/>
      <c r="Q10" s="29"/>
      <c r="R10" s="38"/>
      <c r="S10" s="39"/>
    </row>
    <row r="11" spans="1:19" ht="21.5" thickBot="1" x14ac:dyDescent="0.55000000000000004">
      <c r="B11" s="83" t="s">
        <v>42</v>
      </c>
      <c r="C11" s="13"/>
      <c r="D11" s="7"/>
      <c r="E11" s="7"/>
      <c r="F11" s="19"/>
      <c r="G11" s="7"/>
      <c r="H11" s="59" t="s">
        <v>38</v>
      </c>
      <c r="I11" s="17"/>
      <c r="J11" s="84">
        <f>F11*F17/35</f>
        <v>0</v>
      </c>
      <c r="K11" s="85"/>
      <c r="L11" s="30"/>
      <c r="M11" s="34">
        <f>(F11+(26*7))</f>
        <v>182</v>
      </c>
      <c r="N11" s="29" t="s">
        <v>4</v>
      </c>
      <c r="O11" s="29"/>
      <c r="P11" s="29"/>
      <c r="Q11" s="29"/>
    </row>
    <row r="12" spans="1:19" ht="20.25" customHeight="1" thickBot="1" x14ac:dyDescent="0.55000000000000004">
      <c r="B12" s="83" t="s">
        <v>16</v>
      </c>
      <c r="C12" s="13"/>
      <c r="D12" s="7"/>
      <c r="E12" s="7"/>
      <c r="F12" s="7"/>
      <c r="G12" s="7"/>
      <c r="H12" s="17"/>
      <c r="I12" s="17"/>
      <c r="J12" s="17"/>
      <c r="K12" s="85"/>
      <c r="L12" s="29"/>
      <c r="M12" s="29"/>
      <c r="N12" s="29"/>
      <c r="O12" s="29"/>
      <c r="P12" s="29"/>
      <c r="Q12" s="29"/>
    </row>
    <row r="13" spans="1:19" ht="21.5" thickBot="1" x14ac:dyDescent="0.55000000000000004">
      <c r="B13" s="83" t="s">
        <v>17</v>
      </c>
      <c r="C13" s="13"/>
      <c r="D13" s="7"/>
      <c r="E13" s="7"/>
      <c r="F13" s="19"/>
      <c r="G13" s="7"/>
      <c r="H13" s="57" t="s">
        <v>34</v>
      </c>
      <c r="I13" s="59"/>
      <c r="J13" s="86">
        <v>1257</v>
      </c>
      <c r="K13" s="85"/>
      <c r="L13" s="29"/>
      <c r="M13" s="29"/>
      <c r="N13" s="29"/>
      <c r="O13" s="29"/>
      <c r="P13" s="29"/>
      <c r="Q13" s="29"/>
    </row>
    <row r="14" spans="1:19" ht="9" customHeight="1" thickBot="1" x14ac:dyDescent="0.55000000000000004">
      <c r="B14" s="83"/>
      <c r="C14" s="13"/>
      <c r="D14" s="7"/>
      <c r="E14" s="7"/>
      <c r="F14" s="7"/>
      <c r="G14" s="7"/>
      <c r="H14" s="59"/>
      <c r="I14" s="59"/>
      <c r="J14" s="59"/>
      <c r="K14" s="85"/>
      <c r="L14" s="29"/>
      <c r="M14" s="29"/>
      <c r="N14" s="29"/>
      <c r="O14" s="29"/>
      <c r="P14" s="29"/>
      <c r="Q14" s="29"/>
    </row>
    <row r="15" spans="1:19" ht="21.5" thickBot="1" x14ac:dyDescent="0.55000000000000004">
      <c r="B15" s="83" t="s">
        <v>23</v>
      </c>
      <c r="C15" s="13"/>
      <c r="D15" s="7"/>
      <c r="E15" s="7"/>
      <c r="F15" s="14"/>
      <c r="G15" s="7"/>
      <c r="H15" s="57" t="s">
        <v>26</v>
      </c>
      <c r="I15" s="59"/>
      <c r="J15" s="60">
        <f>IF(ISERROR(VLOOKUP(F15,Data!G2:H5,2,FALSE)),0,VLOOKUP(F15,Data!G2:H5,2,FALSE))</f>
        <v>0</v>
      </c>
      <c r="K15" s="85"/>
      <c r="L15" s="29"/>
      <c r="M15" s="29"/>
      <c r="N15" s="29"/>
      <c r="O15" s="29"/>
      <c r="P15" s="29"/>
      <c r="Q15" s="29"/>
    </row>
    <row r="16" spans="1:19" ht="10.5" customHeight="1" thickBot="1" x14ac:dyDescent="0.55000000000000004">
      <c r="B16" s="83"/>
      <c r="C16" s="13"/>
      <c r="D16" s="7"/>
      <c r="E16" s="7"/>
      <c r="F16" s="7"/>
      <c r="G16" s="7"/>
      <c r="H16" s="59"/>
      <c r="I16" s="59"/>
      <c r="J16" s="59"/>
      <c r="K16" s="85"/>
      <c r="L16" s="29"/>
      <c r="M16" s="29"/>
      <c r="N16" s="29"/>
      <c r="O16" s="29"/>
      <c r="P16" s="29"/>
      <c r="Q16" s="29"/>
    </row>
    <row r="17" spans="2:17" ht="21.5" thickBot="1" x14ac:dyDescent="0.55000000000000004">
      <c r="B17" s="83" t="s">
        <v>14</v>
      </c>
      <c r="C17" s="16"/>
      <c r="D17" s="13"/>
      <c r="E17" s="13"/>
      <c r="F17" s="73"/>
      <c r="G17" s="7"/>
      <c r="H17" s="57" t="s">
        <v>27</v>
      </c>
      <c r="I17" s="59"/>
      <c r="J17" s="60">
        <f>IF(ISERROR(VLOOKUP(F15,Data!G2:I5,3,FALSE)),0,VLOOKUP(F15,Data!G2:I5,3,FALSE))</f>
        <v>0</v>
      </c>
      <c r="K17" s="85"/>
      <c r="M17" s="35">
        <f>(F17-(15*7))</f>
        <v>-105</v>
      </c>
      <c r="N17" s="28" t="s">
        <v>3</v>
      </c>
    </row>
    <row r="18" spans="2:17" ht="21.5" thickBot="1" x14ac:dyDescent="0.55000000000000004">
      <c r="B18" s="83"/>
      <c r="C18" s="13"/>
      <c r="D18" s="7"/>
      <c r="E18" s="7"/>
      <c r="F18" s="7"/>
      <c r="G18" s="7"/>
      <c r="H18" s="9"/>
      <c r="I18" s="9"/>
      <c r="J18" s="17"/>
      <c r="K18" s="85"/>
      <c r="L18" s="29"/>
      <c r="M18" s="29"/>
      <c r="N18" s="29"/>
      <c r="O18" s="29"/>
      <c r="P18" s="29"/>
      <c r="Q18" s="29"/>
    </row>
    <row r="19" spans="2:17" x14ac:dyDescent="0.45">
      <c r="B19" s="153" t="s">
        <v>9</v>
      </c>
      <c r="C19" s="154"/>
      <c r="D19" s="154"/>
      <c r="E19" s="154"/>
      <c r="F19" s="154"/>
      <c r="G19" s="154"/>
      <c r="H19" s="154"/>
      <c r="I19" s="154"/>
      <c r="J19" s="154"/>
      <c r="K19" s="155"/>
    </row>
    <row r="20" spans="2:17" ht="19" thickBot="1" x14ac:dyDescent="0.5">
      <c r="B20" s="87"/>
      <c r="C20" s="13"/>
      <c r="D20" s="18"/>
      <c r="E20" s="18"/>
      <c r="F20" s="18"/>
      <c r="G20" s="7"/>
      <c r="H20" s="7"/>
      <c r="I20" s="7"/>
      <c r="J20" s="7"/>
      <c r="K20" s="88"/>
    </row>
    <row r="21" spans="2:17" ht="19" thickBot="1" x14ac:dyDescent="0.5">
      <c r="B21" s="89" t="s">
        <v>90</v>
      </c>
      <c r="C21" s="13"/>
      <c r="D21" s="18"/>
      <c r="E21" s="18"/>
      <c r="F21" s="112">
        <f>IF(F17=0,F23*12,F25*12)</f>
        <v>0</v>
      </c>
      <c r="G21" s="7"/>
      <c r="H21" s="7"/>
      <c r="I21" s="7"/>
      <c r="J21" s="7"/>
      <c r="K21" s="88"/>
    </row>
    <row r="22" spans="2:17" ht="19" thickBot="1" x14ac:dyDescent="0.5">
      <c r="B22" s="87"/>
      <c r="C22" s="13"/>
      <c r="D22" s="18"/>
      <c r="E22" s="18"/>
      <c r="F22" s="18"/>
      <c r="G22" s="7"/>
      <c r="H22" s="7"/>
      <c r="I22" s="7"/>
      <c r="J22" s="7"/>
      <c r="K22" s="88"/>
    </row>
    <row r="23" spans="2:17" ht="19" thickBot="1" x14ac:dyDescent="0.5">
      <c r="B23" s="89" t="s">
        <v>39</v>
      </c>
      <c r="C23" s="13"/>
      <c r="D23" s="18"/>
      <c r="E23" s="18"/>
      <c r="F23" s="54">
        <f>IF(F13="",(F11/12),(F13/12))</f>
        <v>0</v>
      </c>
      <c r="G23" s="7"/>
      <c r="H23" s="61" t="s">
        <v>41</v>
      </c>
      <c r="I23" s="62"/>
      <c r="J23" s="90">
        <f>(F23-F27)*12/52.14285714</f>
        <v>0</v>
      </c>
      <c r="K23" s="88"/>
      <c r="M23" s="35">
        <f>INT((F11-1)/6)*6+1</f>
        <v>-5</v>
      </c>
      <c r="N23" s="28" t="s">
        <v>7</v>
      </c>
    </row>
    <row r="24" spans="2:17" ht="12.75" customHeight="1" thickBot="1" x14ac:dyDescent="0.5">
      <c r="B24" s="89"/>
      <c r="C24" s="13"/>
      <c r="D24" s="18"/>
      <c r="E24" s="18"/>
      <c r="F24" s="72"/>
      <c r="G24" s="7"/>
      <c r="H24" s="61"/>
      <c r="I24" s="62"/>
      <c r="J24" s="67"/>
      <c r="K24" s="88"/>
      <c r="M24" s="35"/>
    </row>
    <row r="25" spans="2:17" ht="19" thickBot="1" x14ac:dyDescent="0.5">
      <c r="B25" s="89" t="s">
        <v>77</v>
      </c>
      <c r="C25" s="13"/>
      <c r="D25" s="18"/>
      <c r="E25" s="18"/>
      <c r="F25" s="54" t="str">
        <f>IF(F17="","",(F23*F17/35))</f>
        <v/>
      </c>
      <c r="G25" s="7"/>
      <c r="H25" s="61" t="s">
        <v>40</v>
      </c>
      <c r="I25" s="62"/>
      <c r="J25" s="74">
        <f>(F11*F17/35)/52</f>
        <v>0</v>
      </c>
      <c r="K25" s="88"/>
      <c r="M25" s="35"/>
    </row>
    <row r="26" spans="2:17" ht="11.25" customHeight="1" thickBot="1" x14ac:dyDescent="0.5">
      <c r="B26" s="87"/>
      <c r="C26" s="13"/>
      <c r="D26" s="18"/>
      <c r="E26" s="18"/>
      <c r="F26" s="18"/>
      <c r="G26" s="7"/>
      <c r="H26" s="61"/>
      <c r="I26" s="62"/>
      <c r="J26" s="63"/>
      <c r="K26" s="88"/>
    </row>
    <row r="27" spans="2:17" ht="19" thickBot="1" x14ac:dyDescent="0.5">
      <c r="B27" s="89" t="s">
        <v>81</v>
      </c>
      <c r="C27" s="13"/>
      <c r="D27" s="18"/>
      <c r="E27" s="18"/>
      <c r="F27" s="54">
        <f>IF(F25="",(F23*J15),(F25*J15))</f>
        <v>0</v>
      </c>
      <c r="G27" s="7"/>
      <c r="H27" s="61" t="s">
        <v>30</v>
      </c>
      <c r="I27" s="62"/>
      <c r="J27" s="91">
        <v>166</v>
      </c>
      <c r="K27" s="88"/>
      <c r="L27" s="109"/>
      <c r="M27" s="35">
        <f>F17+7-WEEKDAY(F17)</f>
        <v>0</v>
      </c>
      <c r="N27" s="28" t="s">
        <v>8</v>
      </c>
    </row>
    <row r="28" spans="2:17" ht="19" thickBot="1" x14ac:dyDescent="0.5">
      <c r="B28" s="87"/>
      <c r="C28" s="13"/>
      <c r="D28" s="18"/>
      <c r="E28" s="18"/>
      <c r="F28" s="18"/>
      <c r="G28" s="7"/>
      <c r="H28" s="61"/>
      <c r="I28" s="62"/>
      <c r="J28" s="63"/>
      <c r="K28" s="88"/>
    </row>
    <row r="29" spans="2:17" ht="19" thickBot="1" x14ac:dyDescent="0.5">
      <c r="B29" s="89" t="s">
        <v>73</v>
      </c>
      <c r="C29" s="13"/>
      <c r="D29" s="18"/>
      <c r="E29" s="18"/>
      <c r="F29" s="54">
        <f>IF(F17="",F23-F27,F25-F27)</f>
        <v>0</v>
      </c>
      <c r="G29" s="7"/>
      <c r="H29" s="61"/>
      <c r="I29" s="62"/>
      <c r="J29" s="63"/>
      <c r="K29" s="88"/>
    </row>
    <row r="30" spans="2:17" ht="19" thickBot="1" x14ac:dyDescent="0.5">
      <c r="B30" s="87"/>
      <c r="C30" s="13"/>
      <c r="D30" s="18"/>
      <c r="E30" s="18"/>
      <c r="F30" s="18"/>
      <c r="G30" s="7"/>
      <c r="H30" s="61"/>
      <c r="I30" s="62"/>
      <c r="J30" s="63"/>
      <c r="K30" s="88"/>
    </row>
    <row r="31" spans="2:17" ht="21.75" customHeight="1" thickBot="1" x14ac:dyDescent="0.5">
      <c r="B31" s="92" t="s">
        <v>80</v>
      </c>
      <c r="C31" s="20"/>
      <c r="D31" s="21"/>
      <c r="E31" s="21"/>
      <c r="F31" s="54">
        <f>IF(F29&lt;1048,0,IF(F29=4189,(4189-1048)*8%,IF(F29&gt;4189,(F29-4189)*2%+(4189-1048)*8%,IF(AND(F29&gt;1048,(F29&lt;4189)),(F29-1048)*8%,0))))</f>
        <v>0</v>
      </c>
      <c r="G31" s="7"/>
      <c r="H31" s="61" t="s">
        <v>31</v>
      </c>
      <c r="I31" s="62"/>
      <c r="J31" s="68">
        <f>IF(F25="N/A",(J23-J27),(J25))</f>
        <v>0</v>
      </c>
      <c r="K31" s="88"/>
      <c r="M31" s="40">
        <f>(M27-M23)/7</f>
        <v>0.7142857142857143</v>
      </c>
    </row>
    <row r="32" spans="2:17" ht="11.25" customHeight="1" thickBot="1" x14ac:dyDescent="0.5">
      <c r="B32" s="92"/>
      <c r="C32" s="20"/>
      <c r="D32" s="21"/>
      <c r="E32" s="21"/>
      <c r="F32" s="21"/>
      <c r="G32" s="7"/>
      <c r="H32" s="61"/>
      <c r="I32" s="62"/>
      <c r="J32" s="63"/>
      <c r="K32" s="88"/>
    </row>
    <row r="33" spans="1:19" s="7" customFormat="1" ht="21.75" customHeight="1" thickBot="1" x14ac:dyDescent="0.5">
      <c r="B33" s="83" t="s">
        <v>28</v>
      </c>
      <c r="C33" s="16"/>
      <c r="D33" s="13"/>
      <c r="E33" s="13"/>
      <c r="F33" s="113" t="str">
        <f>IF($F$29&gt;Bands!$B$10,(($F$29-Bands!$B$10)*(Bands!$D$10))+((Bands!$C$9-Bands!$B$9)*(Bands!$D$9))+((Bands!$C$8-Bands!$B$8)*(Bands!$D$8))+((Bands!$C$7-Bands!$B$7)*(Bands!$D$7))+((Bands!$C$6-Bands!$B$6)*(Bands!$D$6))+((Bands!$C$5-Bands!$B$5)*(Bands!$D$5)),IF($F$29&gt;Bands!$B$9,(($F$29-Bands!$B$9)*(Bands!$D$9))+((Bands!$C$8-Bands!$B$8)*(Bands!$D$8))+((Bands!$C$7-Bands!$B$7)*(Bands!$D$7))+((Bands!$C$6-Bands!$B$6)*(Bands!$D$6))+((Bands!$C$5-Bands!$B$5)*(Bands!$D$5)),IF($F$29&gt;Bands!$B$8,(($F$29-Bands!$B$8)*(Bands!$D$8))+((Bands!$C$7-Bands!$B$7)*(Bands!$D$7))+((Bands!$C$6-Bands!$B$6)*(Bands!$D$6))+((Bands!$C$5-Bands!$B$5)*(Bands!$D$5)),IF($F$29&gt;Bands!$B$7,(($F$29-Bands!$B$7)*(Bands!$D$7))+((Bands!$C$6-Bands!$B$6)*(Bands!$D$6))+((Bands!$C$5-Bands!$B$5)*(Bands!$D$5)),IF($F$29&gt;Bands!$B$6,(($F$29-Bands!$B$6)*(Bands!$D$6))+((Bands!$C$5-Bands!$B$5)*(Bands!$D$5)),IF($F$29&gt;Bands!$B$5,(($F$29-Bands!$B$5)*(Bands!$D$5)),"£0.00"))))))</f>
        <v>£0.00</v>
      </c>
      <c r="H33" s="61" t="s">
        <v>32</v>
      </c>
      <c r="I33" s="62"/>
      <c r="J33" s="68">
        <f>J31*52/12</f>
        <v>0</v>
      </c>
      <c r="K33" s="88"/>
      <c r="L33" s="28"/>
      <c r="M33" s="35"/>
      <c r="N33" s="28"/>
      <c r="O33" s="28"/>
      <c r="P33" s="28"/>
      <c r="Q33" s="28"/>
      <c r="R33" s="28"/>
      <c r="S33" s="30"/>
    </row>
    <row r="34" spans="1:19" s="7" customFormat="1" ht="8.25" customHeight="1" thickBot="1" x14ac:dyDescent="0.5">
      <c r="B34" s="83"/>
      <c r="C34" s="16"/>
      <c r="D34" s="13"/>
      <c r="E34" s="13"/>
      <c r="F34" s="64"/>
      <c r="H34" s="61"/>
      <c r="I34" s="62"/>
      <c r="J34" s="63"/>
      <c r="K34" s="88"/>
      <c r="L34" s="28"/>
      <c r="M34" s="28"/>
      <c r="N34" s="28"/>
      <c r="O34" s="28"/>
      <c r="P34" s="28"/>
      <c r="Q34" s="28"/>
      <c r="R34" s="28"/>
      <c r="S34" s="30"/>
    </row>
    <row r="35" spans="1:19" ht="19.5" thickTop="1" thickBot="1" x14ac:dyDescent="0.5">
      <c r="B35" s="165" t="s">
        <v>47</v>
      </c>
      <c r="C35" s="166"/>
      <c r="D35" s="166"/>
      <c r="E35" s="167"/>
      <c r="F35" s="93">
        <f>IF(F23=0,0,IF(F25="",(F23-F27-F31-F33),F25-F27-F31-F33))</f>
        <v>0</v>
      </c>
      <c r="G35" s="76"/>
      <c r="H35" s="76" t="s">
        <v>33</v>
      </c>
      <c r="I35" s="76"/>
      <c r="J35" s="77">
        <v>0.12</v>
      </c>
      <c r="K35" s="94"/>
    </row>
    <row r="36" spans="1:19" ht="10.5" customHeight="1" thickTop="1" x14ac:dyDescent="0.45">
      <c r="B36" s="95"/>
      <c r="C36" s="41"/>
      <c r="D36" s="41"/>
      <c r="E36" s="21"/>
      <c r="F36" s="65"/>
      <c r="G36" s="7"/>
      <c r="H36" s="61"/>
      <c r="I36" s="62"/>
      <c r="J36" s="66"/>
      <c r="K36" s="88"/>
    </row>
    <row r="37" spans="1:19" hidden="1" x14ac:dyDescent="0.45">
      <c r="B37" s="95"/>
      <c r="C37" s="41"/>
      <c r="D37" s="41"/>
      <c r="E37" s="21"/>
      <c r="F37" s="65"/>
      <c r="G37" s="7"/>
      <c r="H37" s="61" t="s">
        <v>43</v>
      </c>
      <c r="I37" s="62"/>
      <c r="J37" s="90">
        <f>F11-12500</f>
        <v>-12500</v>
      </c>
      <c r="K37" s="88"/>
    </row>
    <row r="38" spans="1:19" hidden="1" x14ac:dyDescent="0.45">
      <c r="B38" s="95"/>
      <c r="C38" s="41"/>
      <c r="D38" s="41"/>
      <c r="E38" s="21"/>
      <c r="F38" s="65"/>
      <c r="G38" s="7"/>
      <c r="H38" s="61" t="s">
        <v>44</v>
      </c>
      <c r="I38" s="62"/>
      <c r="J38" s="90">
        <f>IF(J25=0,0,((F11*F17/35)-12500))</f>
        <v>0</v>
      </c>
      <c r="K38" s="88"/>
    </row>
    <row r="39" spans="1:19" hidden="1" x14ac:dyDescent="0.45">
      <c r="B39" s="95"/>
      <c r="C39" s="41"/>
      <c r="D39" s="41"/>
      <c r="E39" s="21"/>
      <c r="F39" s="65"/>
      <c r="G39" s="7"/>
      <c r="H39" s="61" t="s">
        <v>45</v>
      </c>
      <c r="I39" s="62"/>
      <c r="J39" s="96">
        <f>J37/12</f>
        <v>-1041.6666666666667</v>
      </c>
      <c r="K39" s="88"/>
    </row>
    <row r="40" spans="1:19" hidden="1" x14ac:dyDescent="0.45">
      <c r="B40" s="92"/>
      <c r="C40" s="20"/>
      <c r="D40" s="21"/>
      <c r="E40" s="21"/>
      <c r="F40" s="21"/>
      <c r="G40" s="7"/>
      <c r="H40" s="61" t="s">
        <v>46</v>
      </c>
      <c r="I40" s="7"/>
      <c r="J40" s="90">
        <f>J38/12</f>
        <v>0</v>
      </c>
      <c r="K40" s="88"/>
    </row>
    <row r="41" spans="1:19" hidden="1" x14ac:dyDescent="0.45">
      <c r="B41" s="92"/>
      <c r="C41" s="20"/>
      <c r="D41" s="21"/>
      <c r="E41" s="21"/>
      <c r="F41" s="21"/>
      <c r="G41" s="7"/>
      <c r="H41" s="7"/>
      <c r="I41" s="7"/>
      <c r="J41" s="22"/>
      <c r="K41" s="88"/>
    </row>
    <row r="42" spans="1:19" ht="3.75" customHeight="1" thickBot="1" x14ac:dyDescent="0.5">
      <c r="B42" s="92"/>
      <c r="C42" s="20"/>
      <c r="D42" s="21"/>
      <c r="E42" s="21"/>
      <c r="F42" s="21"/>
      <c r="G42" s="7"/>
      <c r="H42" s="7"/>
      <c r="I42" s="7"/>
      <c r="J42" s="22"/>
      <c r="K42" s="88"/>
    </row>
    <row r="43" spans="1:19" x14ac:dyDescent="0.45">
      <c r="A43" s="43"/>
      <c r="B43" s="156" t="s">
        <v>10</v>
      </c>
      <c r="C43" s="157"/>
      <c r="D43" s="157"/>
      <c r="E43" s="157"/>
      <c r="F43" s="157"/>
      <c r="G43" s="157"/>
      <c r="H43" s="157"/>
      <c r="I43" s="157"/>
      <c r="J43" s="157"/>
      <c r="K43" s="158"/>
    </row>
    <row r="44" spans="1:19" ht="19" thickBot="1" x14ac:dyDescent="0.5">
      <c r="A44" s="43"/>
      <c r="B44" s="97"/>
      <c r="C44" s="42"/>
      <c r="D44" s="42"/>
      <c r="E44" s="42"/>
      <c r="F44" s="42"/>
      <c r="G44" s="42"/>
      <c r="H44" s="42"/>
      <c r="I44" s="42"/>
      <c r="J44" s="42"/>
      <c r="K44" s="98"/>
    </row>
    <row r="45" spans="1:19" ht="19" thickBot="1" x14ac:dyDescent="0.5">
      <c r="A45" s="15"/>
      <c r="B45" s="83" t="s">
        <v>11</v>
      </c>
      <c r="C45" s="43"/>
      <c r="D45" s="43"/>
      <c r="E45" s="43"/>
      <c r="F45" s="58">
        <f>IF(F29&gt;Bands!B22,F29-Bands!B22)*Bands!E23</f>
        <v>0</v>
      </c>
      <c r="G45" s="43"/>
      <c r="H45" s="61" t="s">
        <v>35</v>
      </c>
      <c r="I45" s="62"/>
      <c r="J45" s="68">
        <f>(F23-F27)*12/52</f>
        <v>0</v>
      </c>
      <c r="K45" s="99"/>
    </row>
    <row r="46" spans="1:19" ht="9" customHeight="1" thickBot="1" x14ac:dyDescent="0.5">
      <c r="A46" s="15"/>
      <c r="B46" s="83"/>
      <c r="C46" s="43"/>
      <c r="D46" s="43"/>
      <c r="E46" s="43"/>
      <c r="F46" s="43"/>
      <c r="G46" s="43"/>
      <c r="H46" s="61"/>
      <c r="I46" s="62"/>
      <c r="J46" s="63"/>
      <c r="K46" s="99"/>
    </row>
    <row r="47" spans="1:19" ht="19" thickBot="1" x14ac:dyDescent="0.5">
      <c r="B47" s="83" t="s">
        <v>79</v>
      </c>
      <c r="C47" s="43"/>
      <c r="D47" s="43"/>
      <c r="E47" s="43"/>
      <c r="F47" s="58">
        <f>IF(F25="",(F23*J17),F25*J17)</f>
        <v>0</v>
      </c>
      <c r="G47" s="43"/>
      <c r="H47" s="61" t="s">
        <v>30</v>
      </c>
      <c r="I47" s="62"/>
      <c r="J47" s="69">
        <v>166</v>
      </c>
      <c r="K47" s="99"/>
      <c r="L47" s="30"/>
      <c r="M47" s="31"/>
    </row>
    <row r="48" spans="1:19" ht="9" customHeight="1" thickBot="1" x14ac:dyDescent="0.5">
      <c r="B48" s="83"/>
      <c r="C48" s="43"/>
      <c r="D48" s="43"/>
      <c r="E48" s="43"/>
      <c r="F48" s="43"/>
      <c r="G48" s="43"/>
      <c r="H48" s="61"/>
      <c r="I48" s="62"/>
      <c r="J48" s="63"/>
      <c r="K48" s="99"/>
      <c r="L48" s="30"/>
      <c r="M48" s="31"/>
    </row>
    <row r="49" spans="2:14" ht="19" thickBot="1" x14ac:dyDescent="0.5">
      <c r="B49" s="83" t="s">
        <v>12</v>
      </c>
      <c r="C49" s="43"/>
      <c r="D49" s="43"/>
      <c r="E49" s="43"/>
      <c r="F49" s="58">
        <f>IF(F17="",(F23-F27)*0.5%,(F25-F27)*0.5%)</f>
        <v>0</v>
      </c>
      <c r="G49" s="43"/>
      <c r="H49" s="61" t="s">
        <v>36</v>
      </c>
      <c r="I49" s="62"/>
      <c r="J49" s="68">
        <f>J45-J47</f>
        <v>-166</v>
      </c>
      <c r="K49" s="99"/>
    </row>
    <row r="50" spans="2:14" ht="9.75" customHeight="1" thickBot="1" x14ac:dyDescent="0.5">
      <c r="B50" s="83"/>
      <c r="C50" s="43"/>
      <c r="D50" s="43"/>
      <c r="E50" s="43"/>
      <c r="F50" s="43"/>
      <c r="G50" s="43"/>
      <c r="H50" s="61"/>
      <c r="I50" s="62"/>
      <c r="J50" s="63"/>
      <c r="K50" s="99"/>
    </row>
    <row r="51" spans="2:14" ht="19.5" thickTop="1" thickBot="1" x14ac:dyDescent="0.5">
      <c r="B51" s="83" t="s">
        <v>13</v>
      </c>
      <c r="C51" s="43"/>
      <c r="D51" s="43"/>
      <c r="E51" s="43"/>
      <c r="F51" s="100">
        <f>IF(F25="",(F23+F45+F47+F49),(F25+F45+F47+F49))</f>
        <v>0</v>
      </c>
      <c r="G51" s="43"/>
      <c r="H51" s="61" t="s">
        <v>32</v>
      </c>
      <c r="I51" s="62"/>
      <c r="J51" s="90">
        <f>J49*52/12</f>
        <v>-719.33333333333337</v>
      </c>
      <c r="K51" s="99"/>
      <c r="M51" s="32"/>
      <c r="N51" s="32"/>
    </row>
    <row r="52" spans="2:14" ht="9" customHeight="1" thickTop="1" thickBot="1" x14ac:dyDescent="0.5">
      <c r="B52" s="83"/>
      <c r="C52" s="43"/>
      <c r="D52" s="43"/>
      <c r="E52" s="43"/>
      <c r="F52" s="70"/>
      <c r="G52" s="43"/>
      <c r="H52" s="61"/>
      <c r="I52" s="62"/>
      <c r="J52" s="71"/>
      <c r="K52" s="99"/>
      <c r="M52" s="32"/>
      <c r="N52" s="32"/>
    </row>
    <row r="53" spans="2:14" ht="19.5" thickTop="1" thickBot="1" x14ac:dyDescent="0.5">
      <c r="B53" s="83" t="s">
        <v>37</v>
      </c>
      <c r="C53" s="43"/>
      <c r="D53" s="43"/>
      <c r="E53" s="43"/>
      <c r="F53" s="100">
        <f>F51*12</f>
        <v>0</v>
      </c>
      <c r="G53" s="43"/>
      <c r="H53" s="61" t="s">
        <v>33</v>
      </c>
      <c r="I53" s="62"/>
      <c r="J53" s="101">
        <v>0.13800000000000001</v>
      </c>
      <c r="K53" s="99"/>
      <c r="M53" s="32"/>
      <c r="N53" s="32"/>
    </row>
    <row r="54" spans="2:14" ht="17.5" customHeight="1" thickTop="1" thickBot="1" x14ac:dyDescent="0.5">
      <c r="B54" s="102"/>
      <c r="C54" s="103"/>
      <c r="D54" s="104"/>
      <c r="E54" s="104"/>
      <c r="F54" s="104"/>
      <c r="G54" s="104"/>
      <c r="H54" s="105"/>
      <c r="I54" s="106"/>
      <c r="J54" s="107"/>
      <c r="K54" s="108"/>
      <c r="M54" s="32"/>
      <c r="N54" s="32"/>
    </row>
    <row r="55" spans="2:14" x14ac:dyDescent="0.45">
      <c r="D55" s="7"/>
      <c r="E55" s="7"/>
      <c r="F55" s="7"/>
      <c r="G55" s="7"/>
      <c r="H55" s="7"/>
      <c r="I55" s="7"/>
      <c r="J55" s="7"/>
    </row>
    <row r="56" spans="2:14" x14ac:dyDescent="0.45">
      <c r="B56" s="114" t="s">
        <v>95</v>
      </c>
      <c r="D56" s="7"/>
      <c r="E56" s="7"/>
      <c r="F56" s="7"/>
      <c r="G56" s="7"/>
      <c r="H56" s="7"/>
      <c r="I56" s="7"/>
      <c r="J56" s="7"/>
    </row>
    <row r="57" spans="2:14" hidden="1" x14ac:dyDescent="0.45">
      <c r="B57" s="24"/>
      <c r="C57" s="24"/>
      <c r="D57" s="33"/>
      <c r="E57" s="33"/>
      <c r="F57" s="33"/>
      <c r="G57" s="25"/>
      <c r="H57" s="26"/>
      <c r="I57" s="26"/>
      <c r="J57" s="7"/>
    </row>
    <row r="58" spans="2:14" hidden="1" x14ac:dyDescent="0.45">
      <c r="D58" s="7"/>
      <c r="E58" s="7"/>
      <c r="F58" s="7"/>
      <c r="G58" s="7"/>
      <c r="H58" s="15"/>
      <c r="I58" s="15"/>
      <c r="J58" s="7"/>
    </row>
    <row r="59" spans="2:14" hidden="1" x14ac:dyDescent="0.45">
      <c r="B59" s="24"/>
      <c r="C59" s="24"/>
      <c r="D59" s="33"/>
      <c r="E59" s="33"/>
      <c r="F59" s="33"/>
      <c r="G59" s="25"/>
      <c r="H59" s="26"/>
      <c r="I59" s="26"/>
      <c r="J59" s="7"/>
    </row>
    <row r="60" spans="2:14" hidden="1" x14ac:dyDescent="0.45">
      <c r="D60" s="7"/>
      <c r="E60" s="7"/>
      <c r="F60" s="7"/>
      <c r="G60" s="7"/>
      <c r="H60" s="7"/>
      <c r="I60" s="7"/>
      <c r="J60" s="7"/>
    </row>
    <row r="61" spans="2:14" hidden="1" x14ac:dyDescent="0.45">
      <c r="D61" s="27"/>
      <c r="E61" s="27"/>
      <c r="F61" s="27"/>
      <c r="G61" s="27"/>
      <c r="H61" s="27"/>
      <c r="I61" s="27"/>
      <c r="J61" s="7"/>
    </row>
  </sheetData>
  <sheetProtection algorithmName="SHA-512" hashValue="10PJ8xhN51JuAzwqXmai/uAd8nj4SDbaWItLFbNMAgoWrxDrnLrX067Jz4QZzQMOcEH9b3jtWcjitSOyW4bERA==" saltValue="bye2CMq2qm9XmzpW7H9Wpw==" spinCount="100000" sheet="1" selectLockedCells="1"/>
  <mergeCells count="9">
    <mergeCell ref="Q2:Q3"/>
    <mergeCell ref="B1:K6"/>
    <mergeCell ref="B9:K9"/>
    <mergeCell ref="B19:K19"/>
    <mergeCell ref="B43:K43"/>
    <mergeCell ref="B8:K8"/>
    <mergeCell ref="B7:K7"/>
    <mergeCell ref="B35:E35"/>
    <mergeCell ref="P2:P3"/>
  </mergeCells>
  <hyperlinks>
    <hyperlink ref="B7:K7" location="'Menu &amp; Guidance'!A1" display="Click here for instructions on how to complete the calculator" xr:uid="{00000000-0004-0000-0100-000000000000}"/>
  </hyperlinks>
  <pageMargins left="0.7" right="0.7" top="0.75" bottom="0.75" header="0.3" footer="0.3"/>
  <pageSetup paperSize="9" scale="5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Data!$G$2:$G$5</xm:f>
          </x14:formula1>
          <xm:sqref>F15</xm:sqref>
        </x14:dataValidation>
        <x14:dataValidation type="list" allowBlank="1" showInputMessage="1" showErrorMessage="1" xr:uid="{00000000-0002-0000-0100-000001000000}">
          <x14:formula1>
            <xm:f>Data!$B$4:$B$63</xm:f>
          </x14:formula1>
          <xm:sqref>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67"/>
  <sheetViews>
    <sheetView topLeftCell="A46" workbookViewId="0">
      <selection activeCell="F63" sqref="F63"/>
    </sheetView>
  </sheetViews>
  <sheetFormatPr defaultRowHeight="15.5" x14ac:dyDescent="0.35"/>
  <cols>
    <col min="2" max="2" width="20.81640625" style="53" customWidth="1"/>
    <col min="7" max="7" width="22.1796875" customWidth="1"/>
    <col min="8" max="8" width="16.453125" customWidth="1"/>
    <col min="9" max="9" width="14.54296875" customWidth="1"/>
  </cols>
  <sheetData>
    <row r="1" spans="1:52" ht="33.75" customHeight="1" x14ac:dyDescent="0.35">
      <c r="A1" s="168" t="s">
        <v>15</v>
      </c>
      <c r="B1" s="171" t="s">
        <v>92</v>
      </c>
      <c r="C1" s="44"/>
      <c r="D1" s="45"/>
      <c r="E1" s="45" t="s">
        <v>18</v>
      </c>
      <c r="F1" s="45"/>
      <c r="G1" s="45" t="s">
        <v>18</v>
      </c>
      <c r="H1" s="45" t="s">
        <v>24</v>
      </c>
      <c r="I1" s="45" t="s">
        <v>25</v>
      </c>
      <c r="J1" s="45"/>
      <c r="K1" s="45" t="s">
        <v>29</v>
      </c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</row>
    <row r="2" spans="1:52" ht="15" customHeight="1" x14ac:dyDescent="0.35">
      <c r="A2" s="169"/>
      <c r="B2" s="172"/>
      <c r="C2" s="44"/>
      <c r="D2" s="45"/>
      <c r="E2" s="45"/>
      <c r="F2" s="45"/>
      <c r="G2" s="45" t="s">
        <v>19</v>
      </c>
      <c r="H2" s="55">
        <v>6.0999999999999999E-2</v>
      </c>
      <c r="I2" s="50">
        <v>0.156</v>
      </c>
      <c r="J2" s="45"/>
      <c r="K2" s="50">
        <v>5.1999999999999998E-2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</row>
    <row r="3" spans="1:52" ht="15" customHeight="1" x14ac:dyDescent="0.35">
      <c r="A3" s="170"/>
      <c r="B3" s="173"/>
      <c r="C3" s="44"/>
      <c r="D3" s="45"/>
      <c r="E3" s="45"/>
      <c r="F3" s="45"/>
      <c r="G3" s="45" t="s">
        <v>21</v>
      </c>
      <c r="H3" s="55">
        <v>6.0999999999999999E-2</v>
      </c>
      <c r="I3" s="50">
        <v>0.14499999999999999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</row>
    <row r="4" spans="1:52" ht="14.5" x14ac:dyDescent="0.35">
      <c r="A4" s="51">
        <v>7</v>
      </c>
      <c r="B4" s="110">
        <v>24547</v>
      </c>
      <c r="C4" s="111"/>
      <c r="D4" s="48"/>
      <c r="E4" s="47"/>
      <c r="F4" s="47"/>
      <c r="G4" s="45" t="s">
        <v>20</v>
      </c>
      <c r="H4" s="56">
        <v>0.05</v>
      </c>
      <c r="I4" s="56">
        <v>0.03</v>
      </c>
      <c r="J4" s="48"/>
      <c r="K4" s="49"/>
      <c r="L4" s="50"/>
      <c r="M4" s="47"/>
      <c r="N4" s="47"/>
      <c r="O4" s="47"/>
      <c r="P4" s="48"/>
      <c r="Q4" s="48"/>
      <c r="R4" s="48"/>
      <c r="S4" s="48"/>
      <c r="T4" s="48"/>
      <c r="U4" s="48"/>
      <c r="V4" s="48"/>
      <c r="W4" s="48"/>
      <c r="X4" s="48"/>
      <c r="Y4" s="48"/>
      <c r="Z4" s="47"/>
      <c r="AA4" s="47"/>
      <c r="AB4" s="47"/>
      <c r="AC4" s="47"/>
      <c r="AD4" s="47"/>
      <c r="AE4" s="48"/>
      <c r="AF4" s="48"/>
      <c r="AG4" s="48"/>
      <c r="AH4" s="48"/>
      <c r="AI4" s="48"/>
      <c r="AJ4" s="48"/>
      <c r="AK4" s="48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</row>
    <row r="5" spans="1:52" ht="14.5" x14ac:dyDescent="0.35">
      <c r="A5" s="51">
        <v>8</v>
      </c>
      <c r="B5" s="110">
        <v>24547</v>
      </c>
      <c r="C5" s="111"/>
      <c r="D5" s="47"/>
      <c r="E5" s="48"/>
      <c r="F5" s="48"/>
      <c r="G5" s="47" t="s">
        <v>22</v>
      </c>
      <c r="H5" s="55">
        <v>0</v>
      </c>
      <c r="I5" s="55">
        <v>0</v>
      </c>
      <c r="J5" s="47"/>
      <c r="K5" s="49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</row>
    <row r="6" spans="1:52" ht="14.5" x14ac:dyDescent="0.35">
      <c r="A6" s="51">
        <v>9</v>
      </c>
      <c r="B6" s="110">
        <v>24547</v>
      </c>
      <c r="C6" s="111"/>
      <c r="D6" s="45"/>
      <c r="E6" s="47"/>
      <c r="F6" s="47"/>
      <c r="G6" s="48"/>
      <c r="H6" s="45"/>
      <c r="I6" s="45"/>
      <c r="J6" s="52"/>
      <c r="K6" s="49"/>
      <c r="L6" s="52"/>
      <c r="M6" s="52"/>
      <c r="N6" s="52"/>
      <c r="O6" s="52"/>
      <c r="P6" s="52"/>
      <c r="Q6" s="52"/>
      <c r="R6" s="52"/>
      <c r="S6" s="45"/>
      <c r="T6" s="45"/>
      <c r="U6" s="45"/>
      <c r="V6" s="45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45"/>
      <c r="AI6" s="45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</row>
    <row r="7" spans="1:52" ht="14.5" x14ac:dyDescent="0.35">
      <c r="A7" s="51">
        <v>10</v>
      </c>
      <c r="B7" s="110">
        <v>24729</v>
      </c>
      <c r="C7" s="111"/>
      <c r="D7" s="45"/>
      <c r="E7" s="47"/>
      <c r="F7" s="45"/>
      <c r="G7" s="45"/>
      <c r="H7" s="45"/>
      <c r="I7" s="45"/>
      <c r="J7" s="45"/>
      <c r="K7" s="49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</row>
    <row r="8" spans="1:52" ht="14.5" x14ac:dyDescent="0.35">
      <c r="A8" s="51">
        <v>11</v>
      </c>
      <c r="B8" s="110">
        <v>24911</v>
      </c>
      <c r="C8" s="111"/>
      <c r="D8" s="45"/>
      <c r="E8" s="47"/>
      <c r="F8" s="45"/>
      <c r="G8" s="78" t="s">
        <v>49</v>
      </c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</row>
    <row r="9" spans="1:52" ht="14.5" x14ac:dyDescent="0.35">
      <c r="A9" s="51">
        <v>12</v>
      </c>
      <c r="B9" s="110">
        <v>25094</v>
      </c>
      <c r="C9" s="111"/>
      <c r="D9" s="45"/>
      <c r="E9" s="47"/>
      <c r="F9" s="45"/>
      <c r="H9" t="s">
        <v>50</v>
      </c>
      <c r="I9" t="s">
        <v>51</v>
      </c>
      <c r="J9" t="s">
        <v>52</v>
      </c>
      <c r="L9" t="s">
        <v>53</v>
      </c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</row>
    <row r="10" spans="1:52" ht="14.5" x14ac:dyDescent="0.35">
      <c r="A10" s="51">
        <v>13</v>
      </c>
      <c r="B10" s="110">
        <v>25276</v>
      </c>
      <c r="C10" s="46"/>
      <c r="D10" s="45"/>
      <c r="E10" s="47"/>
      <c r="F10" s="45"/>
      <c r="G10" t="s">
        <v>54</v>
      </c>
      <c r="H10" s="79">
        <v>0</v>
      </c>
      <c r="I10" s="79">
        <v>1048.25</v>
      </c>
      <c r="J10" s="80">
        <v>0</v>
      </c>
      <c r="L10" t="s">
        <v>55</v>
      </c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</row>
    <row r="11" spans="1:52" ht="14.5" x14ac:dyDescent="0.35">
      <c r="A11" s="51">
        <v>14</v>
      </c>
      <c r="B11" s="110">
        <v>25804</v>
      </c>
      <c r="C11" s="46"/>
      <c r="D11" s="45"/>
      <c r="E11" s="47"/>
      <c r="F11" s="45"/>
      <c r="G11" t="s">
        <v>56</v>
      </c>
      <c r="H11" s="79">
        <v>1048.26</v>
      </c>
      <c r="I11" s="79">
        <v>1283.08</v>
      </c>
      <c r="J11" s="80">
        <v>0.19</v>
      </c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</row>
    <row r="12" spans="1:52" ht="14.5" x14ac:dyDescent="0.35">
      <c r="A12" s="51">
        <v>15</v>
      </c>
      <c r="B12" s="110">
        <v>26093</v>
      </c>
      <c r="C12" s="46"/>
      <c r="D12" s="45"/>
      <c r="E12" s="47"/>
      <c r="F12" s="45"/>
      <c r="G12" t="s">
        <v>57</v>
      </c>
      <c r="H12" s="79">
        <v>1283.0899999999999</v>
      </c>
      <c r="I12" s="79">
        <v>2290.92</v>
      </c>
      <c r="J12" s="80">
        <v>0.2</v>
      </c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</row>
    <row r="13" spans="1:52" ht="14.5" x14ac:dyDescent="0.35">
      <c r="A13" s="51">
        <v>16</v>
      </c>
      <c r="B13" s="110">
        <v>26707</v>
      </c>
      <c r="C13" s="46"/>
      <c r="D13" s="45"/>
      <c r="E13" s="47"/>
      <c r="F13" s="45"/>
      <c r="G13" t="s">
        <v>58</v>
      </c>
      <c r="H13" s="79">
        <v>2290.9299999999998</v>
      </c>
      <c r="I13" s="79">
        <v>3638.5</v>
      </c>
      <c r="J13" s="80">
        <v>0.21</v>
      </c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</row>
    <row r="14" spans="1:52" ht="14.5" x14ac:dyDescent="0.35">
      <c r="A14" s="51">
        <v>17</v>
      </c>
      <c r="B14" s="110">
        <v>27319</v>
      </c>
      <c r="C14" s="46"/>
      <c r="D14" s="45"/>
      <c r="E14" s="47"/>
      <c r="F14" s="45"/>
      <c r="G14" t="s">
        <v>59</v>
      </c>
      <c r="H14" s="79">
        <f>I13+0.01</f>
        <v>3638.51</v>
      </c>
      <c r="I14" s="79">
        <v>6250</v>
      </c>
      <c r="J14" s="80">
        <v>0.42</v>
      </c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</row>
    <row r="15" spans="1:52" ht="14.5" x14ac:dyDescent="0.35">
      <c r="A15" s="51">
        <v>18</v>
      </c>
      <c r="B15" s="110">
        <v>28031</v>
      </c>
      <c r="C15" s="46"/>
      <c r="D15" s="45"/>
      <c r="E15" s="47"/>
      <c r="F15" s="45"/>
      <c r="G15" t="s">
        <v>91</v>
      </c>
      <c r="H15" s="79">
        <v>6250.01</v>
      </c>
      <c r="I15" s="79">
        <v>10428.33</v>
      </c>
      <c r="J15" s="80">
        <v>0.45</v>
      </c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</row>
    <row r="16" spans="1:52" ht="14.5" x14ac:dyDescent="0.35">
      <c r="A16" s="51">
        <v>19</v>
      </c>
      <c r="B16" s="110">
        <v>28778</v>
      </c>
      <c r="C16" s="46"/>
      <c r="D16" s="45"/>
      <c r="E16" s="47"/>
      <c r="F16" s="45"/>
      <c r="G16" t="s">
        <v>60</v>
      </c>
      <c r="H16" s="79">
        <v>10428.34</v>
      </c>
      <c r="I16" s="79">
        <v>99999.99</v>
      </c>
      <c r="J16" s="80">
        <v>0.48</v>
      </c>
      <c r="L16" t="s">
        <v>61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</row>
    <row r="17" spans="1:52" ht="14.5" x14ac:dyDescent="0.35">
      <c r="A17" s="51">
        <v>20</v>
      </c>
      <c r="B17" s="110">
        <v>29588</v>
      </c>
      <c r="C17" s="46"/>
      <c r="D17" s="45"/>
      <c r="E17" s="47"/>
      <c r="F17" s="45"/>
      <c r="G17" s="45"/>
      <c r="H17" s="45"/>
      <c r="I17" s="45"/>
      <c r="J17" s="45"/>
      <c r="K17" s="49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</row>
    <row r="18" spans="1:52" ht="14.5" x14ac:dyDescent="0.35">
      <c r="A18" s="51">
        <v>21</v>
      </c>
      <c r="B18" s="110">
        <v>30378</v>
      </c>
      <c r="C18" s="46"/>
      <c r="D18" s="45"/>
      <c r="E18" s="47"/>
      <c r="F18" s="45"/>
      <c r="J18" t="s">
        <v>62</v>
      </c>
      <c r="L18" t="s">
        <v>63</v>
      </c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</row>
    <row r="19" spans="1:52" ht="14.5" x14ac:dyDescent="0.35">
      <c r="A19" s="51">
        <v>22</v>
      </c>
      <c r="B19" s="110">
        <v>31236</v>
      </c>
      <c r="C19" s="46"/>
      <c r="D19" s="45"/>
      <c r="E19" s="47"/>
      <c r="F19" s="45"/>
      <c r="G19" s="78" t="s">
        <v>64</v>
      </c>
      <c r="H19" t="s">
        <v>50</v>
      </c>
      <c r="I19" t="s">
        <v>51</v>
      </c>
      <c r="J19" t="s">
        <v>65</v>
      </c>
      <c r="K19" t="s">
        <v>66</v>
      </c>
      <c r="L19" t="s">
        <v>65</v>
      </c>
      <c r="M19" t="s">
        <v>66</v>
      </c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</row>
    <row r="20" spans="1:52" ht="14.5" x14ac:dyDescent="0.35">
      <c r="A20" s="51">
        <v>23</v>
      </c>
      <c r="B20" s="110">
        <v>32080</v>
      </c>
      <c r="C20" s="46"/>
      <c r="D20" s="45"/>
      <c r="E20" s="47"/>
      <c r="F20" s="45"/>
      <c r="G20" t="s">
        <v>67</v>
      </c>
      <c r="H20" s="79">
        <v>0</v>
      </c>
      <c r="I20" s="79">
        <v>0</v>
      </c>
      <c r="J20" s="80">
        <v>0</v>
      </c>
      <c r="K20" s="80">
        <v>0</v>
      </c>
      <c r="L20" s="80">
        <v>0</v>
      </c>
      <c r="M20" s="80">
        <v>0</v>
      </c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</row>
    <row r="21" spans="1:52" ht="14.5" x14ac:dyDescent="0.35">
      <c r="A21" s="51">
        <v>24</v>
      </c>
      <c r="B21" s="110">
        <v>33002</v>
      </c>
      <c r="C21" s="46"/>
      <c r="D21" s="45"/>
      <c r="E21" s="47"/>
      <c r="F21" s="45"/>
      <c r="G21" t="s">
        <v>68</v>
      </c>
      <c r="H21" s="79">
        <v>0</v>
      </c>
      <c r="I21" s="79">
        <v>0</v>
      </c>
      <c r="J21" s="80">
        <v>0</v>
      </c>
      <c r="K21" s="80">
        <v>0</v>
      </c>
      <c r="L21" s="80">
        <v>0</v>
      </c>
      <c r="M21" s="80">
        <v>0</v>
      </c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</row>
    <row r="22" spans="1:52" ht="14.5" x14ac:dyDescent="0.35">
      <c r="A22" s="51">
        <v>25</v>
      </c>
      <c r="B22" s="110">
        <v>33951</v>
      </c>
      <c r="C22" s="46"/>
      <c r="D22" s="45"/>
      <c r="E22" s="47"/>
      <c r="F22" s="45"/>
      <c r="G22" t="s">
        <v>69</v>
      </c>
      <c r="H22" s="79">
        <v>0</v>
      </c>
      <c r="I22" s="79">
        <v>0</v>
      </c>
      <c r="J22" s="80">
        <v>0.08</v>
      </c>
      <c r="K22" s="80">
        <v>0.15</v>
      </c>
      <c r="L22" s="80">
        <v>0.08</v>
      </c>
      <c r="M22" s="80">
        <v>0.15</v>
      </c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</row>
    <row r="23" spans="1:52" ht="14.5" x14ac:dyDescent="0.35">
      <c r="A23" s="51">
        <v>26</v>
      </c>
      <c r="B23" s="110">
        <v>34610</v>
      </c>
      <c r="C23" s="46"/>
      <c r="D23" s="45"/>
      <c r="E23" s="47"/>
      <c r="F23" s="45"/>
      <c r="G23" s="45" t="s">
        <v>70</v>
      </c>
      <c r="H23" s="79">
        <v>416.67</v>
      </c>
      <c r="I23" s="79">
        <v>4189</v>
      </c>
      <c r="J23" s="80">
        <v>0.08</v>
      </c>
      <c r="K23" s="80">
        <v>0</v>
      </c>
      <c r="L23" s="80">
        <v>0.08</v>
      </c>
      <c r="M23" s="80">
        <v>0</v>
      </c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</row>
    <row r="24" spans="1:52" ht="14.5" x14ac:dyDescent="0.35">
      <c r="A24" s="51">
        <v>27</v>
      </c>
      <c r="B24" s="110">
        <v>35608</v>
      </c>
      <c r="C24" s="46"/>
      <c r="D24" s="45"/>
      <c r="E24" s="47"/>
      <c r="F24" s="45"/>
      <c r="G24" s="45" t="s">
        <v>71</v>
      </c>
      <c r="H24" s="79">
        <v>1048</v>
      </c>
      <c r="I24" s="79">
        <v>4189</v>
      </c>
      <c r="J24" s="80">
        <v>0</v>
      </c>
      <c r="K24" s="80">
        <v>0.15</v>
      </c>
      <c r="L24" s="80">
        <v>0</v>
      </c>
      <c r="M24" s="80">
        <v>0.15</v>
      </c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</row>
    <row r="25" spans="1:52" ht="14.5" x14ac:dyDescent="0.35">
      <c r="A25" s="51">
        <v>28</v>
      </c>
      <c r="B25" s="110">
        <v>36636</v>
      </c>
      <c r="C25" s="46"/>
      <c r="D25" s="45"/>
      <c r="E25" s="47"/>
      <c r="F25" s="45"/>
      <c r="G25" t="s">
        <v>72</v>
      </c>
      <c r="H25" s="79">
        <v>4189</v>
      </c>
      <c r="I25" s="79">
        <v>999999.9</v>
      </c>
      <c r="J25" s="80">
        <v>0.02</v>
      </c>
      <c r="K25" s="80">
        <v>0.15</v>
      </c>
      <c r="L25" s="80">
        <v>0.02</v>
      </c>
      <c r="M25" s="80">
        <v>0.15</v>
      </c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</row>
    <row r="26" spans="1:52" ht="14.5" x14ac:dyDescent="0.35">
      <c r="A26" s="51">
        <v>29</v>
      </c>
      <c r="B26" s="110">
        <v>37694</v>
      </c>
      <c r="C26" s="46"/>
      <c r="D26" s="45"/>
      <c r="E26" s="47"/>
      <c r="F26" s="45"/>
      <c r="G26" s="45"/>
      <c r="H26" s="45"/>
      <c r="I26" s="45"/>
      <c r="J26" s="45"/>
      <c r="K26" s="49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</row>
    <row r="27" spans="1:52" ht="14.5" x14ac:dyDescent="0.35">
      <c r="A27" s="51">
        <v>30</v>
      </c>
      <c r="B27" s="110">
        <v>38784</v>
      </c>
      <c r="C27" s="46"/>
      <c r="D27" s="45"/>
      <c r="E27" s="47"/>
      <c r="F27" s="45"/>
      <c r="G27" s="45"/>
      <c r="H27" s="45"/>
      <c r="I27" s="45"/>
      <c r="J27" s="45"/>
      <c r="K27" s="49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</row>
    <row r="28" spans="1:52" ht="14.5" x14ac:dyDescent="0.35">
      <c r="A28" s="51">
        <v>31</v>
      </c>
      <c r="B28" s="110">
        <v>39906</v>
      </c>
      <c r="C28" s="46"/>
      <c r="D28" s="45"/>
      <c r="E28" s="47"/>
      <c r="F28" s="45"/>
      <c r="G28" s="45"/>
      <c r="H28" s="45"/>
      <c r="I28" s="45"/>
      <c r="J28" s="45"/>
      <c r="K28" s="49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</row>
    <row r="29" spans="1:52" ht="14.5" x14ac:dyDescent="0.35">
      <c r="A29" s="51">
        <v>32</v>
      </c>
      <c r="B29" s="110">
        <v>41064</v>
      </c>
      <c r="C29" s="46"/>
      <c r="D29" s="45"/>
      <c r="E29" s="47"/>
      <c r="F29" s="45"/>
      <c r="G29" s="45"/>
      <c r="H29" s="45"/>
      <c r="I29" s="45"/>
      <c r="J29" s="45"/>
      <c r="K29" s="49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</row>
    <row r="30" spans="1:52" ht="14.5" x14ac:dyDescent="0.35">
      <c r="A30" s="51">
        <v>33</v>
      </c>
      <c r="B30" s="110">
        <v>42254</v>
      </c>
      <c r="C30" s="46"/>
      <c r="D30" s="45"/>
      <c r="E30" s="47"/>
      <c r="F30" s="45"/>
      <c r="G30" s="45"/>
      <c r="H30" s="45"/>
      <c r="I30" s="45"/>
      <c r="J30" s="45"/>
      <c r="K30" s="49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</row>
    <row r="31" spans="1:52" ht="14.5" x14ac:dyDescent="0.35">
      <c r="A31" s="51">
        <v>34</v>
      </c>
      <c r="B31" s="110">
        <v>43482</v>
      </c>
      <c r="C31" s="46"/>
      <c r="D31" s="45"/>
      <c r="E31" s="47"/>
      <c r="F31" s="45"/>
      <c r="G31" s="45"/>
      <c r="H31" s="45"/>
      <c r="I31" s="45"/>
      <c r="J31" s="45"/>
      <c r="K31" s="49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</row>
    <row r="32" spans="1:52" ht="14.5" x14ac:dyDescent="0.35">
      <c r="A32" s="51">
        <v>35</v>
      </c>
      <c r="B32" s="110">
        <v>44746</v>
      </c>
      <c r="C32" s="46"/>
      <c r="D32" s="45"/>
      <c r="E32" s="47"/>
      <c r="F32" s="45"/>
      <c r="G32" s="45"/>
      <c r="H32" s="45"/>
      <c r="I32" s="45"/>
      <c r="J32" s="45"/>
      <c r="K32" s="49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</row>
    <row r="33" spans="1:52" ht="14.5" x14ac:dyDescent="0.35">
      <c r="A33" s="51">
        <v>36</v>
      </c>
      <c r="B33" s="110">
        <v>46049</v>
      </c>
      <c r="C33" s="46"/>
      <c r="D33" s="45"/>
      <c r="E33" s="47"/>
      <c r="F33" s="45"/>
      <c r="G33" s="45"/>
      <c r="H33" s="45"/>
      <c r="I33" s="45"/>
      <c r="J33" s="45"/>
      <c r="K33" s="49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</row>
    <row r="34" spans="1:52" ht="14.5" x14ac:dyDescent="0.35">
      <c r="A34" s="51">
        <v>37</v>
      </c>
      <c r="B34" s="110">
        <v>47389</v>
      </c>
      <c r="C34" s="46"/>
      <c r="D34" s="45"/>
      <c r="E34" s="47"/>
      <c r="F34" s="45"/>
      <c r="G34" s="45"/>
      <c r="H34" s="45"/>
      <c r="I34" s="45"/>
      <c r="J34" s="45"/>
      <c r="K34" s="49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</row>
    <row r="35" spans="1:52" ht="14.5" x14ac:dyDescent="0.35">
      <c r="A35" s="51">
        <v>38</v>
      </c>
      <c r="B35" s="110">
        <v>48822</v>
      </c>
      <c r="C35" s="46"/>
      <c r="D35" s="45"/>
      <c r="E35" s="47"/>
      <c r="F35" s="45"/>
      <c r="G35" s="45"/>
      <c r="H35" s="45"/>
      <c r="I35" s="45"/>
      <c r="J35" s="45"/>
      <c r="K35" s="49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</row>
    <row r="36" spans="1:52" ht="14.5" x14ac:dyDescent="0.35">
      <c r="A36" s="51">
        <v>39</v>
      </c>
      <c r="B36" s="110">
        <v>50253</v>
      </c>
      <c r="C36" s="46"/>
      <c r="D36" s="45"/>
      <c r="E36" s="47"/>
      <c r="F36" s="45"/>
      <c r="G36" s="45"/>
      <c r="H36" s="45"/>
      <c r="I36" s="45"/>
      <c r="J36" s="45"/>
      <c r="K36" s="49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</row>
    <row r="37" spans="1:52" ht="14.5" x14ac:dyDescent="0.35">
      <c r="A37" s="51">
        <v>40</v>
      </c>
      <c r="B37" s="110">
        <v>51753</v>
      </c>
      <c r="C37" s="46"/>
      <c r="D37" s="45"/>
      <c r="E37" s="47"/>
      <c r="F37" s="45"/>
      <c r="G37" s="45"/>
      <c r="H37" s="45"/>
      <c r="I37" s="45"/>
      <c r="J37" s="45"/>
      <c r="K37" s="49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</row>
    <row r="38" spans="1:52" ht="14.5" x14ac:dyDescent="0.35">
      <c r="A38" s="51">
        <v>41</v>
      </c>
      <c r="B38" s="110">
        <v>53301</v>
      </c>
      <c r="C38" s="46"/>
      <c r="D38" s="45"/>
      <c r="E38" s="47"/>
      <c r="F38" s="45"/>
      <c r="G38" s="45"/>
      <c r="H38" s="45"/>
      <c r="I38" s="45"/>
      <c r="J38" s="45"/>
      <c r="K38" s="49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</row>
    <row r="39" spans="1:52" ht="14.5" x14ac:dyDescent="0.35">
      <c r="A39" s="51">
        <v>42</v>
      </c>
      <c r="B39" s="110">
        <v>54893</v>
      </c>
      <c r="C39" s="46"/>
      <c r="D39" s="45"/>
      <c r="E39" s="47"/>
      <c r="F39" s="45"/>
      <c r="G39" s="45"/>
      <c r="H39" s="45"/>
      <c r="I39" s="45"/>
      <c r="J39" s="45"/>
      <c r="K39" s="49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</row>
    <row r="40" spans="1:52" ht="14.5" x14ac:dyDescent="0.35">
      <c r="A40" s="51">
        <v>43</v>
      </c>
      <c r="B40" s="110">
        <v>56535</v>
      </c>
      <c r="C40" s="46"/>
      <c r="D40" s="45"/>
      <c r="E40" s="47"/>
      <c r="F40" s="45"/>
      <c r="G40" s="45"/>
      <c r="H40" s="45"/>
      <c r="I40" s="45"/>
      <c r="J40" s="45"/>
      <c r="K40" s="49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</row>
    <row r="41" spans="1:52" ht="14.5" x14ac:dyDescent="0.35">
      <c r="A41" s="51">
        <v>44</v>
      </c>
      <c r="B41" s="110">
        <v>58225</v>
      </c>
      <c r="C41" s="46"/>
      <c r="D41" s="45"/>
      <c r="E41" s="47"/>
      <c r="F41" s="45"/>
      <c r="G41" s="45"/>
      <c r="H41" s="45"/>
      <c r="I41" s="45"/>
      <c r="J41" s="45"/>
      <c r="K41" s="49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</row>
    <row r="42" spans="1:52" ht="14.5" x14ac:dyDescent="0.35">
      <c r="A42" s="51">
        <v>45</v>
      </c>
      <c r="B42" s="110">
        <v>59966</v>
      </c>
      <c r="C42" s="46"/>
      <c r="D42" s="45"/>
      <c r="E42" s="47"/>
      <c r="F42" s="45"/>
      <c r="G42" s="45"/>
      <c r="H42" s="45"/>
      <c r="I42" s="45"/>
      <c r="J42" s="45"/>
      <c r="K42" s="49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</row>
    <row r="43" spans="1:52" ht="14.5" x14ac:dyDescent="0.35">
      <c r="A43" s="51">
        <v>46</v>
      </c>
      <c r="B43" s="110">
        <v>61759</v>
      </c>
      <c r="C43" s="46"/>
      <c r="D43" s="45"/>
      <c r="E43" s="47"/>
      <c r="F43" s="45"/>
      <c r="G43" s="45"/>
      <c r="H43" s="45"/>
      <c r="I43" s="45"/>
      <c r="J43" s="45"/>
      <c r="K43" s="49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</row>
    <row r="44" spans="1:52" ht="14.5" x14ac:dyDescent="0.35">
      <c r="A44" s="51">
        <v>47</v>
      </c>
      <c r="B44" s="110">
        <v>63606</v>
      </c>
      <c r="C44" s="46"/>
      <c r="D44" s="45"/>
      <c r="E44" s="47"/>
      <c r="F44" s="45"/>
      <c r="G44" s="45"/>
      <c r="H44" s="45"/>
      <c r="I44" s="45"/>
      <c r="J44" s="45"/>
      <c r="K44" s="49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</row>
    <row r="45" spans="1:52" ht="14.5" x14ac:dyDescent="0.35">
      <c r="A45" s="51">
        <v>48</v>
      </c>
      <c r="B45" s="110">
        <v>65509</v>
      </c>
      <c r="C45" s="46"/>
      <c r="D45" s="45"/>
      <c r="E45" s="47"/>
      <c r="F45" s="45"/>
      <c r="G45" s="45"/>
      <c r="H45" s="45"/>
      <c r="I45" s="45"/>
      <c r="J45" s="45"/>
      <c r="K45" s="49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</row>
    <row r="46" spans="1:52" ht="14.5" x14ac:dyDescent="0.35">
      <c r="A46" s="51">
        <v>49</v>
      </c>
      <c r="B46" s="110">
        <v>67468</v>
      </c>
      <c r="C46" s="46"/>
      <c r="D46" s="45"/>
      <c r="E46" s="47"/>
      <c r="F46" s="45"/>
      <c r="G46" s="45"/>
      <c r="H46" s="45"/>
      <c r="I46" s="45"/>
      <c r="J46" s="45"/>
      <c r="K46" s="49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</row>
    <row r="47" spans="1:52" ht="14.5" x14ac:dyDescent="0.35">
      <c r="A47" s="51">
        <v>50</v>
      </c>
      <c r="B47" s="110">
        <v>69488</v>
      </c>
      <c r="C47" s="46"/>
      <c r="D47" s="45"/>
      <c r="E47" s="47"/>
      <c r="F47" s="45"/>
      <c r="G47" s="45"/>
      <c r="H47" s="45"/>
      <c r="I47" s="45"/>
      <c r="J47" s="45"/>
      <c r="K47" s="49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</row>
    <row r="48" spans="1:52" ht="14.5" x14ac:dyDescent="0.35">
      <c r="A48" s="51">
        <v>51</v>
      </c>
      <c r="B48" s="110">
        <v>71566</v>
      </c>
      <c r="C48" s="46"/>
      <c r="D48" s="45"/>
      <c r="E48" s="47"/>
      <c r="F48" s="45"/>
      <c r="G48" s="45"/>
      <c r="H48" s="45"/>
      <c r="I48" s="45"/>
      <c r="J48" s="45"/>
      <c r="K48" s="49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</row>
    <row r="49" spans="1:52" ht="14.5" x14ac:dyDescent="0.35">
      <c r="A49" s="51">
        <v>52</v>
      </c>
      <c r="B49" s="110">
        <v>73692</v>
      </c>
      <c r="C49" s="46"/>
      <c r="D49" s="45"/>
      <c r="E49" s="47"/>
      <c r="F49" s="45"/>
      <c r="G49" s="45"/>
      <c r="H49" s="45"/>
      <c r="I49" s="45"/>
      <c r="J49" s="45"/>
      <c r="K49" s="49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</row>
    <row r="50" spans="1:52" ht="14.5" x14ac:dyDescent="0.35">
      <c r="A50" s="51">
        <v>53</v>
      </c>
      <c r="B50" s="110">
        <v>76087</v>
      </c>
      <c r="C50" s="46"/>
      <c r="D50" s="45"/>
      <c r="E50" s="47"/>
      <c r="F50" s="45"/>
      <c r="G50" s="45"/>
      <c r="H50" s="45"/>
      <c r="I50" s="45"/>
      <c r="J50" s="45"/>
      <c r="K50" s="49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</row>
    <row r="51" spans="1:52" ht="14.5" x14ac:dyDescent="0.35">
      <c r="A51" s="51">
        <v>54</v>
      </c>
      <c r="B51" s="110">
        <v>78469</v>
      </c>
      <c r="C51" s="46"/>
      <c r="D51" s="45"/>
      <c r="E51" s="47"/>
      <c r="F51" s="45"/>
      <c r="G51" s="45"/>
      <c r="H51" s="45"/>
      <c r="I51" s="45"/>
      <c r="J51" s="45"/>
      <c r="K51" s="49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</row>
    <row r="52" spans="1:52" ht="14.5" x14ac:dyDescent="0.35">
      <c r="A52" s="51">
        <v>55</v>
      </c>
      <c r="B52" s="110">
        <v>81016</v>
      </c>
      <c r="C52" s="46"/>
      <c r="D52" s="45"/>
      <c r="E52" s="47"/>
      <c r="F52" s="45"/>
      <c r="G52" s="45"/>
      <c r="H52" s="45"/>
      <c r="I52" s="45"/>
      <c r="J52" s="45"/>
      <c r="K52" s="49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</row>
    <row r="53" spans="1:52" ht="14.5" x14ac:dyDescent="0.35">
      <c r="A53" s="51">
        <v>56</v>
      </c>
      <c r="B53" s="110">
        <v>83558</v>
      </c>
      <c r="C53" s="46"/>
      <c r="D53" s="45"/>
      <c r="E53" s="47"/>
      <c r="F53" s="45"/>
      <c r="G53" s="45"/>
      <c r="H53" s="45"/>
      <c r="I53" s="45"/>
      <c r="J53" s="45"/>
      <c r="K53" s="49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</row>
    <row r="54" spans="1:52" ht="14.5" x14ac:dyDescent="0.35">
      <c r="A54" s="51">
        <v>57</v>
      </c>
      <c r="B54" s="110">
        <v>86268</v>
      </c>
      <c r="C54" s="46"/>
      <c r="D54" s="45"/>
      <c r="E54" s="47"/>
      <c r="F54" s="45"/>
      <c r="G54" s="45"/>
      <c r="H54" s="45"/>
      <c r="I54" s="45"/>
      <c r="J54" s="45"/>
      <c r="K54" s="49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</row>
    <row r="55" spans="1:52" ht="14.5" x14ac:dyDescent="0.35">
      <c r="A55" s="51">
        <v>58</v>
      </c>
      <c r="B55" s="110">
        <v>88979</v>
      </c>
      <c r="C55" s="46"/>
      <c r="D55" s="45"/>
      <c r="E55" s="47"/>
      <c r="F55" s="45"/>
      <c r="G55" s="45"/>
      <c r="H55" s="45"/>
      <c r="I55" s="45"/>
      <c r="J55" s="45"/>
      <c r="K55" s="49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</row>
    <row r="56" spans="1:52" ht="14.5" x14ac:dyDescent="0.35">
      <c r="A56" s="51">
        <v>59</v>
      </c>
      <c r="B56" s="110">
        <v>92087</v>
      </c>
      <c r="C56" s="46"/>
      <c r="D56" s="45"/>
      <c r="E56" s="47"/>
      <c r="F56" s="45"/>
      <c r="G56" s="45"/>
      <c r="H56" s="45"/>
      <c r="I56" s="45"/>
      <c r="J56" s="45"/>
      <c r="K56" s="49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</row>
    <row r="57" spans="1:52" ht="14.5" x14ac:dyDescent="0.35">
      <c r="A57" s="51">
        <v>60</v>
      </c>
      <c r="B57" s="110">
        <v>95193</v>
      </c>
      <c r="C57" s="46"/>
      <c r="D57" s="45"/>
      <c r="E57" s="47"/>
      <c r="F57" s="45"/>
      <c r="G57" s="45"/>
      <c r="H57" s="45"/>
      <c r="I57" s="45"/>
      <c r="J57" s="45"/>
      <c r="K57" s="49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</row>
    <row r="58" spans="1:52" ht="14.5" x14ac:dyDescent="0.35">
      <c r="A58" s="51">
        <v>61</v>
      </c>
      <c r="B58" s="110">
        <v>98517</v>
      </c>
      <c r="C58" s="46"/>
      <c r="D58" s="45"/>
      <c r="E58" s="47"/>
      <c r="F58" s="45"/>
      <c r="G58" s="45"/>
      <c r="H58" s="45"/>
      <c r="I58" s="45"/>
      <c r="J58" s="45"/>
      <c r="K58" s="49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</row>
    <row r="59" spans="1:52" ht="14.5" x14ac:dyDescent="0.35">
      <c r="A59" s="51">
        <v>62</v>
      </c>
      <c r="B59" s="110">
        <v>101262</v>
      </c>
      <c r="C59" s="46"/>
      <c r="D59" s="45"/>
      <c r="E59" s="47"/>
      <c r="F59" s="45"/>
      <c r="G59" s="45"/>
      <c r="H59" s="45"/>
      <c r="I59" s="45"/>
      <c r="J59" s="45"/>
      <c r="K59" s="49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</row>
    <row r="60" spans="1:52" ht="14.5" x14ac:dyDescent="0.35">
      <c r="A60" s="51">
        <v>63</v>
      </c>
      <c r="B60" s="110">
        <v>105939</v>
      </c>
      <c r="C60" s="46"/>
      <c r="D60" s="45"/>
      <c r="E60" s="47"/>
      <c r="F60" s="45"/>
      <c r="G60" s="45"/>
      <c r="H60" s="45"/>
      <c r="I60" s="45"/>
      <c r="J60" s="45"/>
      <c r="K60" s="49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</row>
    <row r="61" spans="1:52" ht="14.5" x14ac:dyDescent="0.35">
      <c r="A61" s="51">
        <v>64</v>
      </c>
      <c r="B61" s="110">
        <v>110028</v>
      </c>
      <c r="C61" s="46"/>
      <c r="D61" s="45"/>
      <c r="E61" s="47"/>
      <c r="F61" s="45"/>
      <c r="G61" s="45"/>
      <c r="H61" s="45"/>
      <c r="I61" s="45"/>
      <c r="J61" s="45"/>
      <c r="K61" s="49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</row>
    <row r="62" spans="1:52" ht="14.5" x14ac:dyDescent="0.35">
      <c r="A62" s="51">
        <v>65</v>
      </c>
      <c r="B62" s="110">
        <v>113301</v>
      </c>
      <c r="C62" s="46"/>
      <c r="D62" s="45"/>
      <c r="E62" s="47"/>
      <c r="F62" s="45"/>
      <c r="G62" s="45"/>
      <c r="H62" s="45"/>
      <c r="I62" s="45"/>
      <c r="J62" s="45"/>
      <c r="K62" s="49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</row>
    <row r="63" spans="1:52" ht="14.5" x14ac:dyDescent="0.35">
      <c r="A63" s="51">
        <v>66</v>
      </c>
      <c r="B63" s="110">
        <v>116575</v>
      </c>
      <c r="C63" s="46"/>
      <c r="D63" s="45"/>
      <c r="E63" s="47"/>
      <c r="F63" s="45"/>
      <c r="G63" s="45"/>
      <c r="H63" s="45"/>
      <c r="I63" s="45"/>
      <c r="J63" s="45"/>
      <c r="K63" s="49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</row>
    <row r="64" spans="1:52" x14ac:dyDescent="0.35">
      <c r="C64" s="46"/>
      <c r="D64" s="45"/>
      <c r="E64" s="47"/>
      <c r="F64" s="45"/>
      <c r="G64" s="45"/>
      <c r="H64" s="45"/>
      <c r="I64" s="45"/>
      <c r="J64" s="45"/>
      <c r="K64" s="49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</row>
    <row r="65" spans="3:52" x14ac:dyDescent="0.35">
      <c r="C65" s="46"/>
      <c r="D65" s="45"/>
      <c r="E65" s="47"/>
      <c r="F65" s="45"/>
      <c r="G65" s="45"/>
      <c r="H65" s="45"/>
      <c r="I65" s="45"/>
      <c r="J65" s="45"/>
      <c r="K65" s="49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</row>
    <row r="66" spans="3:52" x14ac:dyDescent="0.35">
      <c r="E66" s="47"/>
      <c r="F66" s="45"/>
      <c r="G66" s="45"/>
      <c r="H66" s="45"/>
      <c r="I66" s="45"/>
      <c r="J66" s="45"/>
      <c r="K66" s="49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</row>
    <row r="67" spans="3:52" x14ac:dyDescent="0.35">
      <c r="G67" s="45"/>
      <c r="H67" s="45"/>
      <c r="I67" s="45"/>
      <c r="J67" s="45"/>
      <c r="K67" s="49"/>
      <c r="L67" s="45"/>
      <c r="M67" s="45"/>
      <c r="N67" s="45"/>
      <c r="O67" s="45"/>
      <c r="P67" s="45"/>
      <c r="Q67" s="45"/>
      <c r="R67" s="45"/>
    </row>
  </sheetData>
  <mergeCells count="2">
    <mergeCell ref="A1:A3"/>
    <mergeCell ref="B1:B3"/>
  </mergeCells>
  <phoneticPr fontId="3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O29"/>
  <sheetViews>
    <sheetView workbookViewId="0">
      <selection activeCell="G31" sqref="G31"/>
    </sheetView>
  </sheetViews>
  <sheetFormatPr defaultRowHeight="14.25" customHeight="1" x14ac:dyDescent="0.35"/>
  <cols>
    <col min="1" max="1" width="20.453125" customWidth="1"/>
    <col min="2" max="2" width="12.81640625" customWidth="1"/>
    <col min="3" max="3" width="10.54296875" bestFit="1" customWidth="1"/>
    <col min="4" max="5" width="9.453125" bestFit="1" customWidth="1"/>
    <col min="7" max="7" width="13.453125" bestFit="1" customWidth="1"/>
  </cols>
  <sheetData>
    <row r="2" spans="1:9" ht="14.25" customHeight="1" x14ac:dyDescent="0.35">
      <c r="A2" s="78" t="s">
        <v>49</v>
      </c>
    </row>
    <row r="3" spans="1:9" ht="14.25" customHeight="1" x14ac:dyDescent="0.35">
      <c r="B3" t="s">
        <v>50</v>
      </c>
      <c r="C3" t="s">
        <v>51</v>
      </c>
      <c r="D3" t="s">
        <v>52</v>
      </c>
      <c r="F3" t="s">
        <v>53</v>
      </c>
    </row>
    <row r="4" spans="1:9" ht="14.25" customHeight="1" x14ac:dyDescent="0.35">
      <c r="A4" t="s">
        <v>54</v>
      </c>
      <c r="B4" s="79">
        <v>0</v>
      </c>
      <c r="C4" s="79">
        <v>1048.25</v>
      </c>
      <c r="D4" s="80">
        <v>0</v>
      </c>
      <c r="F4" t="s">
        <v>55</v>
      </c>
    </row>
    <row r="5" spans="1:9" ht="14.25" customHeight="1" x14ac:dyDescent="0.35">
      <c r="A5" t="s">
        <v>56</v>
      </c>
      <c r="B5" s="79">
        <v>1048.26</v>
      </c>
      <c r="C5" s="79">
        <v>1283.08</v>
      </c>
      <c r="D5" s="80">
        <v>0.19</v>
      </c>
    </row>
    <row r="6" spans="1:9" ht="14.25" customHeight="1" x14ac:dyDescent="0.35">
      <c r="A6" t="s">
        <v>57</v>
      </c>
      <c r="B6" s="79">
        <v>1283.0899999999999</v>
      </c>
      <c r="C6" s="79">
        <v>2290.92</v>
      </c>
      <c r="D6" s="80">
        <v>0.2</v>
      </c>
    </row>
    <row r="7" spans="1:9" ht="14.25" customHeight="1" x14ac:dyDescent="0.35">
      <c r="A7" t="s">
        <v>58</v>
      </c>
      <c r="B7" s="79">
        <v>2290.9299999999998</v>
      </c>
      <c r="C7" s="79">
        <v>3638.5</v>
      </c>
      <c r="D7" s="80">
        <v>0.21</v>
      </c>
    </row>
    <row r="8" spans="1:9" ht="14.25" customHeight="1" x14ac:dyDescent="0.35">
      <c r="A8" t="s">
        <v>59</v>
      </c>
      <c r="B8" s="79">
        <v>3638.51</v>
      </c>
      <c r="C8" s="79">
        <v>6250</v>
      </c>
      <c r="D8" s="80">
        <v>0.42</v>
      </c>
    </row>
    <row r="9" spans="1:9" ht="14.25" customHeight="1" x14ac:dyDescent="0.35">
      <c r="A9" t="s">
        <v>91</v>
      </c>
      <c r="B9" s="79">
        <v>6250.01</v>
      </c>
      <c r="C9" s="79">
        <v>10428.33</v>
      </c>
      <c r="D9" s="80">
        <v>0.45</v>
      </c>
    </row>
    <row r="10" spans="1:9" ht="14.25" customHeight="1" x14ac:dyDescent="0.35">
      <c r="A10" t="s">
        <v>60</v>
      </c>
      <c r="B10" s="79">
        <v>10428.34</v>
      </c>
      <c r="C10" s="79">
        <v>99999.99</v>
      </c>
      <c r="D10" s="80">
        <v>0.48</v>
      </c>
      <c r="F10" t="s">
        <v>61</v>
      </c>
    </row>
    <row r="12" spans="1:9" ht="14.25" customHeight="1" x14ac:dyDescent="0.35">
      <c r="A12" s="78" t="s">
        <v>74</v>
      </c>
      <c r="B12" s="78" t="s">
        <v>75</v>
      </c>
      <c r="C12" s="78"/>
    </row>
    <row r="13" spans="1:9" ht="14.25" customHeight="1" x14ac:dyDescent="0.35">
      <c r="B13" t="s">
        <v>50</v>
      </c>
      <c r="C13" t="s">
        <v>51</v>
      </c>
      <c r="D13" t="s">
        <v>65</v>
      </c>
      <c r="E13" t="s">
        <v>66</v>
      </c>
      <c r="H13" s="45" t="s">
        <v>65</v>
      </c>
      <c r="I13" s="45" t="s">
        <v>66</v>
      </c>
    </row>
    <row r="14" spans="1:9" ht="14.25" customHeight="1" x14ac:dyDescent="0.35">
      <c r="A14" t="s">
        <v>19</v>
      </c>
      <c r="B14">
        <v>1</v>
      </c>
      <c r="C14">
        <v>26</v>
      </c>
      <c r="D14" s="80">
        <v>6.0999999999999999E-2</v>
      </c>
      <c r="E14" s="80">
        <v>0.156</v>
      </c>
    </row>
    <row r="15" spans="1:9" ht="14.25" customHeight="1" x14ac:dyDescent="0.35">
      <c r="A15" t="s">
        <v>21</v>
      </c>
      <c r="B15">
        <v>27</v>
      </c>
      <c r="C15">
        <v>200</v>
      </c>
      <c r="D15" s="80">
        <v>6.0999999999999999E-2</v>
      </c>
      <c r="E15" s="80">
        <v>0.14499999999999999</v>
      </c>
      <c r="G15" s="45" t="s">
        <v>76</v>
      </c>
      <c r="H15" s="80">
        <v>0.08</v>
      </c>
      <c r="I15" s="80">
        <v>0.18</v>
      </c>
    </row>
    <row r="16" spans="1:9" ht="14.25" customHeight="1" x14ac:dyDescent="0.35">
      <c r="A16" t="s">
        <v>20</v>
      </c>
      <c r="B16">
        <v>1</v>
      </c>
      <c r="C16">
        <v>26</v>
      </c>
      <c r="D16" s="80">
        <v>0.05</v>
      </c>
      <c r="E16" s="80">
        <v>0.03</v>
      </c>
    </row>
    <row r="17" spans="1:15" ht="14.25" customHeight="1" x14ac:dyDescent="0.35">
      <c r="D17" t="s">
        <v>62</v>
      </c>
      <c r="F17" t="s">
        <v>63</v>
      </c>
    </row>
    <row r="18" spans="1:15" ht="14.25" customHeight="1" x14ac:dyDescent="0.35">
      <c r="A18" s="78" t="s">
        <v>64</v>
      </c>
      <c r="B18" t="s">
        <v>50</v>
      </c>
      <c r="C18" t="s">
        <v>51</v>
      </c>
      <c r="D18" t="s">
        <v>65</v>
      </c>
      <c r="E18" t="s">
        <v>66</v>
      </c>
      <c r="F18" t="s">
        <v>65</v>
      </c>
      <c r="G18" t="s">
        <v>66</v>
      </c>
    </row>
    <row r="19" spans="1:15" ht="14.25" customHeight="1" x14ac:dyDescent="0.35">
      <c r="A19" t="s">
        <v>67</v>
      </c>
      <c r="B19" s="79">
        <v>0</v>
      </c>
      <c r="C19" s="79">
        <v>0</v>
      </c>
      <c r="D19" s="80">
        <v>0</v>
      </c>
      <c r="E19" s="80">
        <v>0</v>
      </c>
      <c r="F19" s="80">
        <v>0</v>
      </c>
      <c r="G19" s="80">
        <v>0</v>
      </c>
    </row>
    <row r="20" spans="1:15" ht="14.25" customHeight="1" x14ac:dyDescent="0.35">
      <c r="A20" t="s">
        <v>68</v>
      </c>
      <c r="B20" s="79">
        <v>0</v>
      </c>
      <c r="C20" s="79">
        <v>0</v>
      </c>
      <c r="D20" s="80">
        <v>0</v>
      </c>
      <c r="E20" s="80">
        <v>0</v>
      </c>
      <c r="F20" s="80">
        <v>0</v>
      </c>
      <c r="G20" s="80">
        <v>0</v>
      </c>
    </row>
    <row r="21" spans="1:15" ht="14.25" customHeight="1" x14ac:dyDescent="0.35">
      <c r="A21" t="s">
        <v>69</v>
      </c>
      <c r="B21" s="79">
        <v>0</v>
      </c>
      <c r="C21" s="79">
        <v>0</v>
      </c>
      <c r="D21" s="80">
        <v>0.08</v>
      </c>
      <c r="E21" s="80">
        <v>0.15</v>
      </c>
      <c r="F21" s="80">
        <v>0.08</v>
      </c>
      <c r="G21" s="80">
        <v>0.15</v>
      </c>
    </row>
    <row r="22" spans="1:15" ht="14.25" customHeight="1" x14ac:dyDescent="0.35">
      <c r="A22" s="45" t="s">
        <v>70</v>
      </c>
      <c r="B22" s="79">
        <v>416.67</v>
      </c>
      <c r="C22" s="79">
        <v>4189</v>
      </c>
      <c r="D22" s="80">
        <v>0.08</v>
      </c>
      <c r="E22" s="80">
        <v>0</v>
      </c>
      <c r="F22" s="80">
        <v>0.08</v>
      </c>
      <c r="G22" s="80">
        <v>0</v>
      </c>
    </row>
    <row r="23" spans="1:15" ht="14.25" customHeight="1" x14ac:dyDescent="0.35">
      <c r="A23" s="45" t="s">
        <v>71</v>
      </c>
      <c r="B23" s="79">
        <v>1048</v>
      </c>
      <c r="C23" s="79">
        <v>4189</v>
      </c>
      <c r="D23" s="80">
        <v>0</v>
      </c>
      <c r="E23" s="80">
        <v>0.15</v>
      </c>
      <c r="F23" s="80">
        <v>0</v>
      </c>
      <c r="G23" s="80">
        <v>0.15</v>
      </c>
    </row>
    <row r="24" spans="1:15" ht="14.25" customHeight="1" x14ac:dyDescent="0.35">
      <c r="A24" t="s">
        <v>72</v>
      </c>
      <c r="B24" s="79">
        <v>4189</v>
      </c>
      <c r="C24" s="79">
        <v>999999.9</v>
      </c>
      <c r="D24" s="80">
        <v>0.02</v>
      </c>
      <c r="E24" s="80">
        <v>0.15</v>
      </c>
      <c r="F24" s="80">
        <v>0.02</v>
      </c>
      <c r="G24" s="80">
        <v>0.15</v>
      </c>
    </row>
    <row r="25" spans="1:15" ht="14.25" customHeight="1" x14ac:dyDescent="0.35">
      <c r="D25" s="80"/>
      <c r="E25" s="80"/>
      <c r="O25" t="s">
        <v>93</v>
      </c>
    </row>
    <row r="26" spans="1:15" ht="14.25" customHeight="1" x14ac:dyDescent="0.35">
      <c r="D26" s="80"/>
      <c r="E26" s="80"/>
    </row>
    <row r="27" spans="1:15" ht="14.25" customHeight="1" x14ac:dyDescent="0.35">
      <c r="D27" s="80"/>
      <c r="E27" s="80"/>
    </row>
    <row r="28" spans="1:15" ht="14.25" customHeight="1" x14ac:dyDescent="0.35">
      <c r="D28" s="80"/>
      <c r="E28" s="80"/>
    </row>
    <row r="29" spans="1:15" ht="14.25" customHeight="1" x14ac:dyDescent="0.35">
      <c r="D29" s="80"/>
      <c r="E29" s="8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86f3c4-bf3e-46cc-9f83-a1a7dfd029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3CA4A6F49FA4C8F3BDBCB32D51D3A" ma:contentTypeVersion="15" ma:contentTypeDescription="Create a new document." ma:contentTypeScope="" ma:versionID="45773de5a818c8afa4df11f47b16d377">
  <xsd:schema xmlns:xsd="http://www.w3.org/2001/XMLSchema" xmlns:xs="http://www.w3.org/2001/XMLSchema" xmlns:p="http://schemas.microsoft.com/office/2006/metadata/properties" xmlns:ns3="1686f3c4-bf3e-46cc-9f83-a1a7dfd0296f" xmlns:ns4="0d2cab6b-c50f-44d6-bc32-68cc6a225041" targetNamespace="http://schemas.microsoft.com/office/2006/metadata/properties" ma:root="true" ma:fieldsID="d9bfd7f29a6c0214cc8166b66b6fa8ab" ns3:_="" ns4:_="">
    <xsd:import namespace="1686f3c4-bf3e-46cc-9f83-a1a7dfd0296f"/>
    <xsd:import namespace="0d2cab6b-c50f-44d6-bc32-68cc6a2250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f3c4-bf3e-46cc-9f83-a1a7dfd02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cab6b-c50f-44d6-bc32-68cc6a2250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119862-AE4F-41AA-8A44-BF23ACF4E830}">
  <ds:schemaRefs>
    <ds:schemaRef ds:uri="http://schemas.openxmlformats.org/package/2006/metadata/core-properties"/>
    <ds:schemaRef ds:uri="http://www.w3.org/XML/1998/namespace"/>
    <ds:schemaRef ds:uri="0d2cab6b-c50f-44d6-bc32-68cc6a225041"/>
    <ds:schemaRef ds:uri="1686f3c4-bf3e-46cc-9f83-a1a7dfd0296f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2E3A20-2F97-4154-9934-CBE521DC67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7ED130-5BEE-4A5F-B915-545FAE0EDD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86f3c4-bf3e-46cc-9f83-a1a7dfd0296f"/>
    <ds:schemaRef ds:uri="0d2cab6b-c50f-44d6-bc32-68cc6a2250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Menu &amp; Guidance</vt:lpstr>
      <vt:lpstr>Dates - Input screen</vt:lpstr>
      <vt:lpstr>Data</vt:lpstr>
      <vt:lpstr>Bands</vt:lpstr>
      <vt:lpstr>DAYS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 Kerry</dc:creator>
  <cp:keywords/>
  <dc:description/>
  <cp:lastModifiedBy>Morag Eadie</cp:lastModifiedBy>
  <cp:revision/>
  <cp:lastPrinted>2023-12-13T16:07:32Z</cp:lastPrinted>
  <dcterms:created xsi:type="dcterms:W3CDTF">2018-10-22T14:49:23Z</dcterms:created>
  <dcterms:modified xsi:type="dcterms:W3CDTF">2025-12-02T15:24:25Z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0x01010038C3CA4A6F49FA4C8F3BDBCB32D51D3A</vt:lpwstr>
  </property>
</Properties>
</file>