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g.datastore.ed.ac.uk\sg\fin\groups\Finance\FIRST\Statutory Reporting\HESA\HESA FSR 24-25\Submission\"/>
    </mc:Choice>
  </mc:AlternateContent>
  <xr:revisionPtr revIDLastSave="0" documentId="13_ncr:1_{5A84C7FC-05FB-493A-95B1-B035F0120771}" xr6:coauthVersionLast="47" xr6:coauthVersionMax="47" xr10:uidLastSave="{00000000-0000-0000-0000-000000000000}"/>
  <workbookProtection workbookAlgorithmName="SHA-512" workbookHashValue="JcGqH227NHHwNRu3e0ySZQz+mmVnY70htPQ3YI9Wi4byL0h0vswke3aImtPzL3XLyplKqn7fyduMN2u8lEVx2A==" workbookSaltValue="lDA9//QAkPIrKFtrzeT9CA==" workbookSpinCount="100000" lockStructure="1"/>
  <bookViews>
    <workbookView xWindow="28680" yWindow="-120" windowWidth="29040" windowHeight="15720" tabRatio="915" firstSheet="3" activeTab="14" xr2:uid="{00000000-000D-0000-FFFF-FFFF00000000}"/>
  </bookViews>
  <sheets>
    <sheet name="Notes" sheetId="38" state="hidden" r:id="rId1"/>
    <sheet name="Hide_me(drop_downs)" sheetId="24" state="hidden" r:id="rId2"/>
    <sheet name="Changes Made for C24031" sheetId="37" state="hidden" r:id="rId3"/>
    <sheet name="Title_Page" sheetId="21" r:id="rId4"/>
    <sheet name="Table_1_UK" sheetId="9" r:id="rId5"/>
    <sheet name="Table_2_UK" sheetId="10" r:id="rId6"/>
    <sheet name="Table_2_Scotland" sheetId="22" r:id="rId7"/>
    <sheet name="Table_3_UK" sheetId="11" r:id="rId8"/>
    <sheet name="Table_4_UK" sheetId="2" r:id="rId9"/>
    <sheet name="Table_5_UK" sheetId="17" r:id="rId10"/>
    <sheet name="Table_6_UK" sheetId="14" r:id="rId11"/>
    <sheet name="Table_6_Wales" sheetId="15" r:id="rId12"/>
    <sheet name="Table_6_Scotland" sheetId="19" r:id="rId13"/>
    <sheet name="Table_6_N_Ireland" sheetId="18" r:id="rId14"/>
    <sheet name="Table_7_UK" sheetId="3" r:id="rId15"/>
    <sheet name="Table_8_UK" sheetId="7" r:id="rId16"/>
    <sheet name="Table_9_UK" sheetId="28" r:id="rId17"/>
    <sheet name="Table_10_UK" sheetId="31" r:id="rId18"/>
    <sheet name="Table_11_UK" sheetId="30" r:id="rId19"/>
    <sheet name="Table_12_UK" sheetId="32" r:id="rId20"/>
    <sheet name="KFI" sheetId="27" r:id="rId21"/>
  </sheets>
  <definedNames>
    <definedName name="_xlnm.Print_Area" localSheetId="20">KFI!$A$1:$I$17</definedName>
    <definedName name="_xlnm.Print_Area" localSheetId="4">Table_1_UK!$A$1:$N$58</definedName>
    <definedName name="_xlnm.Print_Area" localSheetId="17">Table_10_UK!$A$1:$AC$55</definedName>
    <definedName name="_xlnm.Print_Area" localSheetId="5">Table_2_UK!$A$1:$N$70</definedName>
    <definedName name="_xlnm.Print_Area" localSheetId="7">Table_3_UK!$A$1:$N$71</definedName>
    <definedName name="_xlnm.Print_Area" localSheetId="13">Table_6_N_Ireland!$A$1:$H$11</definedName>
    <definedName name="_xlnm.Print_Area" localSheetId="12">Table_6_Scotland!$A$1:$H$14</definedName>
    <definedName name="_xlnm.Print_Area" localSheetId="11">Table_6_Wales!$A$1:$H$15</definedName>
    <definedName name="_xlnm.Print_Area" localSheetId="16">Table_9_UK!$A$1:$Z$54</definedName>
    <definedName name="_xlnm.Print_Area" localSheetId="3">Title_Page!$A$1:$L$202</definedName>
    <definedName name="_xlnm.Print_Titles" localSheetId="18">Table_11_UK!1:29</definedName>
    <definedName name="_xlnm.Print_Titles" localSheetId="8">Table_4_UK!A:G</definedName>
    <definedName name="_xlnm.Print_Titles" localSheetId="3">Title_Page!1:23</definedName>
    <definedName name="Rules">Title_Page!$A$22:$A$205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1" l="1"/>
  <c r="E24" i="21"/>
  <c r="E25" i="21"/>
  <c r="E26" i="21"/>
  <c r="E27" i="21"/>
  <c r="E28" i="21"/>
  <c r="E29" i="21"/>
  <c r="E30" i="21"/>
  <c r="E31" i="21"/>
  <c r="E32" i="21"/>
  <c r="E33" i="21"/>
  <c r="E34" i="21"/>
  <c r="E35" i="21"/>
  <c r="H35" i="21"/>
  <c r="K35" i="21" s="1"/>
  <c r="I35" i="21"/>
  <c r="J35" i="21"/>
  <c r="L35" i="21"/>
  <c r="E36" i="21"/>
  <c r="H36" i="21"/>
  <c r="I36" i="21"/>
  <c r="J36" i="21"/>
  <c r="K36" i="21"/>
  <c r="L36" i="21"/>
  <c r="E37" i="21"/>
  <c r="E38" i="21"/>
  <c r="E39" i="21"/>
  <c r="H39" i="21"/>
  <c r="K39" i="21" s="1"/>
  <c r="J39" i="21"/>
  <c r="L39" i="21"/>
  <c r="E40" i="21"/>
  <c r="H40" i="21"/>
  <c r="K40" i="21" s="1"/>
  <c r="I40" i="21"/>
  <c r="J40" i="21"/>
  <c r="E41" i="21"/>
  <c r="H41" i="21"/>
  <c r="K41" i="21" s="1"/>
  <c r="I41" i="21"/>
  <c r="J41" i="21"/>
  <c r="L41" i="21"/>
  <c r="E42" i="21"/>
  <c r="H42" i="21"/>
  <c r="L42" i="21" s="1"/>
  <c r="I42" i="21"/>
  <c r="J42" i="21"/>
  <c r="E43" i="21"/>
  <c r="H43" i="21"/>
  <c r="K43" i="21" s="1"/>
  <c r="I43" i="21"/>
  <c r="J43" i="21"/>
  <c r="E44" i="21"/>
  <c r="H44" i="21"/>
  <c r="I44" i="21"/>
  <c r="J44" i="21"/>
  <c r="E45" i="21"/>
  <c r="H45" i="21"/>
  <c r="K45" i="21" s="1"/>
  <c r="I45" i="21"/>
  <c r="J45" i="21"/>
  <c r="L45" i="21"/>
  <c r="E46" i="21"/>
  <c r="H46" i="21"/>
  <c r="I46" i="21"/>
  <c r="J46" i="21"/>
  <c r="E47" i="21"/>
  <c r="H47" i="21"/>
  <c r="K47" i="21" s="1"/>
  <c r="I47" i="21"/>
  <c r="J47" i="21"/>
  <c r="L47" i="21"/>
  <c r="E48" i="21"/>
  <c r="E49" i="21"/>
  <c r="E50" i="21"/>
  <c r="H50" i="21"/>
  <c r="L50" i="21" s="1"/>
  <c r="E51" i="21"/>
  <c r="E52" i="21"/>
  <c r="E53" i="21"/>
  <c r="E54" i="21"/>
  <c r="E55" i="21"/>
  <c r="E56" i="21"/>
  <c r="E57" i="21"/>
  <c r="E58" i="21"/>
  <c r="H58" i="21"/>
  <c r="I58" i="21"/>
  <c r="J58" i="21"/>
  <c r="K58" i="21"/>
  <c r="L58" i="21"/>
  <c r="E59" i="21"/>
  <c r="H59" i="21"/>
  <c r="I59" i="21"/>
  <c r="J59" i="21"/>
  <c r="E60" i="21"/>
  <c r="H60" i="21"/>
  <c r="K60" i="21" s="1"/>
  <c r="J60" i="21"/>
  <c r="I60" i="21" s="1"/>
  <c r="E61" i="21"/>
  <c r="H61" i="21"/>
  <c r="K61" i="21" s="1"/>
  <c r="I61" i="21"/>
  <c r="J61" i="21"/>
  <c r="L61" i="21"/>
  <c r="E62" i="21"/>
  <c r="E63" i="21"/>
  <c r="H63" i="21"/>
  <c r="K63" i="21" s="1"/>
  <c r="J63" i="21"/>
  <c r="E64" i="21"/>
  <c r="E65" i="21"/>
  <c r="E66" i="21"/>
  <c r="E67" i="21"/>
  <c r="E68" i="21"/>
  <c r="E69" i="21"/>
  <c r="E70" i="21"/>
  <c r="J70" i="21"/>
  <c r="E71" i="21"/>
  <c r="H71" i="21"/>
  <c r="K71" i="21" s="1"/>
  <c r="J71" i="21"/>
  <c r="L71" i="21"/>
  <c r="E72" i="21"/>
  <c r="H72" i="21"/>
  <c r="J72" i="21"/>
  <c r="I72" i="21" s="1"/>
  <c r="E73" i="21"/>
  <c r="H73" i="21"/>
  <c r="K73" i="21" s="1"/>
  <c r="I73" i="21"/>
  <c r="J73" i="21"/>
  <c r="L73" i="21"/>
  <c r="E74" i="21"/>
  <c r="H74" i="21"/>
  <c r="L74" i="21" s="1"/>
  <c r="I74" i="21"/>
  <c r="J74" i="21"/>
  <c r="E75" i="21"/>
  <c r="H75" i="21"/>
  <c r="K75" i="21" s="1"/>
  <c r="I75" i="21"/>
  <c r="J75" i="21"/>
  <c r="L75" i="21"/>
  <c r="E76" i="21"/>
  <c r="H76" i="21"/>
  <c r="I76" i="21"/>
  <c r="J76" i="21"/>
  <c r="K76" i="21"/>
  <c r="L76" i="21"/>
  <c r="E77" i="21"/>
  <c r="H77" i="21"/>
  <c r="K77" i="21" s="1"/>
  <c r="I77" i="21"/>
  <c r="J77" i="21"/>
  <c r="E78" i="21"/>
  <c r="E79" i="21"/>
  <c r="E80" i="21"/>
  <c r="H80" i="21"/>
  <c r="J80" i="21"/>
  <c r="I80" i="21" s="1"/>
  <c r="K80" i="21"/>
  <c r="L80" i="21"/>
  <c r="E81" i="21"/>
  <c r="H81" i="21"/>
  <c r="I81" i="21"/>
  <c r="J81" i="21"/>
  <c r="E82" i="21"/>
  <c r="H82" i="21"/>
  <c r="J82" i="21"/>
  <c r="K82" i="21"/>
  <c r="L82" i="21"/>
  <c r="E83" i="21"/>
  <c r="E84" i="21"/>
  <c r="E85" i="21"/>
  <c r="E86" i="21"/>
  <c r="E87" i="21"/>
  <c r="E88" i="21"/>
  <c r="E89" i="21"/>
  <c r="E90" i="21"/>
  <c r="E91" i="21"/>
  <c r="E92" i="21"/>
  <c r="E93" i="21"/>
  <c r="E94" i="21"/>
  <c r="E95" i="21"/>
  <c r="E96" i="21"/>
  <c r="E97" i="21"/>
  <c r="E98" i="21"/>
  <c r="E99" i="21"/>
  <c r="E100" i="21"/>
  <c r="E101" i="21"/>
  <c r="E102" i="21"/>
  <c r="E103" i="21"/>
  <c r="E104" i="21"/>
  <c r="E105" i="21"/>
  <c r="E106" i="21"/>
  <c r="H106" i="21"/>
  <c r="L106" i="21" s="1"/>
  <c r="J106" i="21"/>
  <c r="I106" i="21" s="1"/>
  <c r="K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E130" i="21"/>
  <c r="E131" i="21"/>
  <c r="E132" i="21"/>
  <c r="E133" i="21"/>
  <c r="E134" i="21"/>
  <c r="E135" i="21"/>
  <c r="E136" i="21"/>
  <c r="E137" i="21"/>
  <c r="E138" i="21"/>
  <c r="E139" i="21"/>
  <c r="E140" i="21"/>
  <c r="E141" i="21"/>
  <c r="E142" i="21"/>
  <c r="E143" i="21"/>
  <c r="E144" i="21"/>
  <c r="E145" i="21"/>
  <c r="E146" i="21"/>
  <c r="E147" i="21"/>
  <c r="E148" i="21"/>
  <c r="E149" i="21"/>
  <c r="E150" i="21"/>
  <c r="E151" i="21"/>
  <c r="E152" i="21"/>
  <c r="E153" i="21"/>
  <c r="E154" i="21"/>
  <c r="E155" i="21"/>
  <c r="H155" i="21"/>
  <c r="I155" i="21"/>
  <c r="J155" i="21"/>
  <c r="E156" i="21"/>
  <c r="E157" i="21"/>
  <c r="E158" i="21"/>
  <c r="E159" i="21"/>
  <c r="E160" i="21"/>
  <c r="E161" i="21"/>
  <c r="E162" i="21"/>
  <c r="E163" i="21"/>
  <c r="E164" i="21"/>
  <c r="E165" i="21"/>
  <c r="E166" i="21"/>
  <c r="E167" i="21"/>
  <c r="H167" i="21"/>
  <c r="K167" i="21" s="1"/>
  <c r="I167" i="21"/>
  <c r="J167" i="21"/>
  <c r="L167" i="21"/>
  <c r="E168" i="21"/>
  <c r="H168" i="21"/>
  <c r="I168" i="21"/>
  <c r="J168" i="21"/>
  <c r="E169" i="21"/>
  <c r="E170" i="21"/>
  <c r="E171" i="21"/>
  <c r="E172" i="21"/>
  <c r="J172" i="21"/>
  <c r="E173" i="21"/>
  <c r="H173" i="21"/>
  <c r="K173" i="21" s="1"/>
  <c r="I173" i="21"/>
  <c r="E174" i="21"/>
  <c r="H174" i="21"/>
  <c r="I174" i="21"/>
  <c r="K174" i="21"/>
  <c r="L174" i="21"/>
  <c r="E175" i="21"/>
  <c r="H175" i="21"/>
  <c r="K175" i="21" s="1"/>
  <c r="E176" i="21"/>
  <c r="H176" i="21"/>
  <c r="K176" i="21" s="1"/>
  <c r="I176" i="21"/>
  <c r="E177" i="21"/>
  <c r="H177" i="21"/>
  <c r="J177" i="21"/>
  <c r="E178" i="21"/>
  <c r="E179" i="21"/>
  <c r="E180" i="21"/>
  <c r="H180" i="21"/>
  <c r="I180" i="21"/>
  <c r="K180" i="21"/>
  <c r="L180" i="21"/>
  <c r="E181" i="21"/>
  <c r="H181" i="21"/>
  <c r="I181" i="21"/>
  <c r="J181" i="21"/>
  <c r="E182" i="21"/>
  <c r="E183" i="21"/>
  <c r="E184" i="21"/>
  <c r="H184" i="21"/>
  <c r="I184" i="21"/>
  <c r="J184" i="21"/>
  <c r="E185" i="21"/>
  <c r="H185" i="21"/>
  <c r="L185" i="21" s="1"/>
  <c r="J185" i="21"/>
  <c r="I185" i="21" s="1"/>
  <c r="K185" i="21"/>
  <c r="E186" i="21"/>
  <c r="H186" i="21"/>
  <c r="J186" i="21"/>
  <c r="I186" i="21" s="1"/>
  <c r="E187" i="21"/>
  <c r="E188" i="21"/>
  <c r="E189" i="21"/>
  <c r="J189" i="21"/>
  <c r="E190" i="21"/>
  <c r="E191" i="21"/>
  <c r="E192" i="21"/>
  <c r="E193" i="21"/>
  <c r="H193" i="21"/>
  <c r="I193" i="21"/>
  <c r="J193" i="21"/>
  <c r="K193" i="21"/>
  <c r="L193" i="21"/>
  <c r="E194" i="21"/>
  <c r="H194" i="21"/>
  <c r="J194" i="21"/>
  <c r="I194" i="21" s="1"/>
  <c r="E195" i="21"/>
  <c r="H195" i="21"/>
  <c r="I195" i="21"/>
  <c r="J195" i="21"/>
  <c r="K195" i="21"/>
  <c r="L195" i="21"/>
  <c r="E196" i="21"/>
  <c r="E197" i="21"/>
  <c r="E198" i="21"/>
  <c r="E199" i="21"/>
  <c r="E200" i="21"/>
  <c r="H200" i="21"/>
  <c r="K200" i="21" s="1"/>
  <c r="I200" i="21"/>
  <c r="J200" i="21"/>
  <c r="E201" i="21"/>
  <c r="H201" i="21"/>
  <c r="I201" i="21"/>
  <c r="J201" i="21"/>
  <c r="K201" i="21"/>
  <c r="L201" i="21"/>
  <c r="E202" i="21"/>
  <c r="H202" i="21"/>
  <c r="K202" i="21" s="1"/>
  <c r="I202" i="21"/>
  <c r="J202" i="21"/>
  <c r="E203" i="21"/>
  <c r="H203" i="21"/>
  <c r="K203" i="21" s="1"/>
  <c r="I203" i="21"/>
  <c r="J203" i="21"/>
  <c r="E204" i="21"/>
  <c r="H204" i="21"/>
  <c r="K204" i="21" s="1"/>
  <c r="J204" i="21"/>
  <c r="I204" i="21" s="1"/>
  <c r="E205" i="21"/>
  <c r="H205" i="21"/>
  <c r="I205" i="21"/>
  <c r="J205" i="21"/>
  <c r="K205" i="21"/>
  <c r="L205" i="21"/>
  <c r="U1" i="9"/>
  <c r="B2" i="9"/>
  <c r="N2" i="9"/>
  <c r="H3" i="9"/>
  <c r="I3" i="9"/>
  <c r="J3" i="9"/>
  <c r="U7" i="9"/>
  <c r="U9" i="9"/>
  <c r="H10" i="9"/>
  <c r="H28" i="21" s="1"/>
  <c r="L28" i="21" s="1"/>
  <c r="U10" i="9"/>
  <c r="U11" i="9"/>
  <c r="I12" i="9"/>
  <c r="J12" i="9"/>
  <c r="J22" i="9" s="1"/>
  <c r="J30" i="9" s="1"/>
  <c r="J34" i="9" s="1"/>
  <c r="U16" i="9"/>
  <c r="U18" i="9"/>
  <c r="U19" i="9"/>
  <c r="I20" i="9"/>
  <c r="J20" i="9"/>
  <c r="I22" i="9"/>
  <c r="I30" i="9" s="1"/>
  <c r="I34" i="9" s="1"/>
  <c r="K24" i="9"/>
  <c r="L24" i="9"/>
  <c r="U24" i="9"/>
  <c r="K25" i="9"/>
  <c r="L25" i="9"/>
  <c r="K26" i="9"/>
  <c r="P26" i="9" s="1"/>
  <c r="L26" i="9"/>
  <c r="U26" i="9"/>
  <c r="K27" i="9"/>
  <c r="P27" i="9" s="1"/>
  <c r="R27" i="9" s="1"/>
  <c r="S27" i="9" s="1"/>
  <c r="L27" i="9"/>
  <c r="Q27" i="9"/>
  <c r="U27" i="9"/>
  <c r="K28" i="9"/>
  <c r="L28" i="9"/>
  <c r="Q28" i="9" s="1"/>
  <c r="U28" i="9"/>
  <c r="K32" i="9"/>
  <c r="L32" i="9"/>
  <c r="Q32" i="9"/>
  <c r="U32" i="9"/>
  <c r="K36" i="9"/>
  <c r="L36" i="9" s="1"/>
  <c r="U36" i="9"/>
  <c r="K37" i="9"/>
  <c r="L37" i="9"/>
  <c r="U37" i="9"/>
  <c r="K38" i="9"/>
  <c r="L38" i="9" s="1"/>
  <c r="U38" i="9"/>
  <c r="K39" i="9"/>
  <c r="L39" i="9"/>
  <c r="U39" i="9"/>
  <c r="K44" i="9"/>
  <c r="L44" i="9"/>
  <c r="U44" i="9"/>
  <c r="K45" i="9"/>
  <c r="L45" i="9"/>
  <c r="U45" i="9"/>
  <c r="K46" i="9"/>
  <c r="L46" i="9"/>
  <c r="U46" i="9"/>
  <c r="K47" i="9"/>
  <c r="L47" i="9"/>
  <c r="U47" i="9"/>
  <c r="H48" i="9"/>
  <c r="I48" i="9"/>
  <c r="I50" i="9" s="1"/>
  <c r="J48" i="9"/>
  <c r="K49" i="9"/>
  <c r="L49" i="9"/>
  <c r="U49" i="9"/>
  <c r="J50" i="9"/>
  <c r="K53" i="9"/>
  <c r="L53" i="9" s="1"/>
  <c r="U53" i="9"/>
  <c r="B2" i="10"/>
  <c r="N2" i="10"/>
  <c r="H3" i="10"/>
  <c r="I3" i="10"/>
  <c r="J3" i="10"/>
  <c r="K6" i="10"/>
  <c r="L6" i="10"/>
  <c r="P6" i="10" s="1"/>
  <c r="U6" i="10"/>
  <c r="K7" i="10"/>
  <c r="Q7" i="10" s="1"/>
  <c r="L7" i="10"/>
  <c r="P7" i="10" s="1"/>
  <c r="R7" i="10" s="1"/>
  <c r="S7" i="10" s="1"/>
  <c r="U7" i="10"/>
  <c r="K8" i="10"/>
  <c r="L8" i="10" s="1"/>
  <c r="P8" i="10"/>
  <c r="R8" i="10" s="1"/>
  <c r="S8" i="10" s="1"/>
  <c r="Q8" i="10"/>
  <c r="U8" i="10"/>
  <c r="H9" i="10"/>
  <c r="I9" i="10"/>
  <c r="J9" i="10"/>
  <c r="K10" i="10"/>
  <c r="Q10" i="10" s="1"/>
  <c r="L10" i="10"/>
  <c r="P10" i="10" s="1"/>
  <c r="U10" i="10"/>
  <c r="K11" i="10"/>
  <c r="L11" i="10"/>
  <c r="U11" i="10"/>
  <c r="K12" i="10"/>
  <c r="L12" i="10"/>
  <c r="P12" i="10"/>
  <c r="U12" i="10"/>
  <c r="K13" i="10"/>
  <c r="L13" i="10"/>
  <c r="K14" i="10"/>
  <c r="Q14" i="10" s="1"/>
  <c r="L14" i="10"/>
  <c r="U14" i="10"/>
  <c r="K15" i="10"/>
  <c r="L15" i="10"/>
  <c r="P15" i="10"/>
  <c r="Q15" i="10"/>
  <c r="U15" i="10"/>
  <c r="H16" i="10"/>
  <c r="I50" i="21" s="1"/>
  <c r="I16" i="10"/>
  <c r="J16" i="10"/>
  <c r="J43" i="10" s="1"/>
  <c r="J58" i="10" s="1"/>
  <c r="K16" i="10"/>
  <c r="L16" i="10"/>
  <c r="K19" i="10"/>
  <c r="L19" i="10"/>
  <c r="P19" i="10" s="1"/>
  <c r="U19" i="10"/>
  <c r="K20" i="10"/>
  <c r="U20" i="10"/>
  <c r="H21" i="10"/>
  <c r="K21" i="10" s="1"/>
  <c r="U21" i="10"/>
  <c r="K23" i="10"/>
  <c r="L23" i="10"/>
  <c r="K24" i="10"/>
  <c r="L24" i="10"/>
  <c r="U24" i="10"/>
  <c r="K25" i="10"/>
  <c r="L25" i="10"/>
  <c r="P25" i="10" s="1"/>
  <c r="U25" i="10"/>
  <c r="I26" i="10"/>
  <c r="J26" i="10"/>
  <c r="K29" i="10"/>
  <c r="L29" i="10"/>
  <c r="P29" i="10"/>
  <c r="Q29" i="10"/>
  <c r="U29" i="10"/>
  <c r="K30" i="10"/>
  <c r="L30" i="10"/>
  <c r="U30" i="10"/>
  <c r="K31" i="10"/>
  <c r="L31" i="10"/>
  <c r="P31" i="10" s="1"/>
  <c r="U31" i="10"/>
  <c r="K32" i="10"/>
  <c r="L32" i="10"/>
  <c r="P32" i="10" s="1"/>
  <c r="R32" i="10" s="1"/>
  <c r="S32" i="10" s="1"/>
  <c r="Q32" i="10"/>
  <c r="U32" i="10"/>
  <c r="K33" i="10"/>
  <c r="L33" i="10"/>
  <c r="K34" i="10"/>
  <c r="L34" i="10"/>
  <c r="P34" i="10" s="1"/>
  <c r="U34" i="10"/>
  <c r="K35" i="10"/>
  <c r="L35" i="10" s="1"/>
  <c r="K36" i="10"/>
  <c r="L36" i="10"/>
  <c r="U36" i="10"/>
  <c r="H37" i="10"/>
  <c r="J54" i="21" s="1"/>
  <c r="I37" i="10"/>
  <c r="J37" i="10"/>
  <c r="K39" i="10"/>
  <c r="L39" i="10"/>
  <c r="U39" i="10"/>
  <c r="I41" i="10"/>
  <c r="I43" i="10" s="1"/>
  <c r="I58" i="10" s="1"/>
  <c r="J41" i="10"/>
  <c r="K46" i="10"/>
  <c r="L46" i="10" s="1"/>
  <c r="U46" i="10"/>
  <c r="K47" i="10"/>
  <c r="L47" i="10"/>
  <c r="P47" i="10"/>
  <c r="U47" i="10"/>
  <c r="K48" i="10"/>
  <c r="L48" i="10" s="1"/>
  <c r="P48" i="10" s="1"/>
  <c r="U48" i="10"/>
  <c r="K49" i="10"/>
  <c r="L49" i="10" s="1"/>
  <c r="K50" i="10"/>
  <c r="L50" i="10"/>
  <c r="Q50" i="10"/>
  <c r="U50" i="10"/>
  <c r="H51" i="10"/>
  <c r="K51" i="10" s="1"/>
  <c r="I51" i="10"/>
  <c r="J51" i="10"/>
  <c r="K54" i="10"/>
  <c r="L54" i="10"/>
  <c r="Q54" i="10"/>
  <c r="U54" i="10"/>
  <c r="K55" i="10"/>
  <c r="L55" i="10"/>
  <c r="Q55" i="10" s="1"/>
  <c r="U55" i="10"/>
  <c r="H56" i="10"/>
  <c r="I56" i="10"/>
  <c r="J56" i="10"/>
  <c r="K61" i="10"/>
  <c r="L61" i="10"/>
  <c r="U61" i="10"/>
  <c r="K62" i="10"/>
  <c r="L62" i="10"/>
  <c r="P62" i="10"/>
  <c r="U62" i="10"/>
  <c r="K64" i="10"/>
  <c r="L64" i="10"/>
  <c r="P64" i="10" s="1"/>
  <c r="U64" i="10"/>
  <c r="K65" i="10"/>
  <c r="L65" i="10" s="1"/>
  <c r="U65" i="10"/>
  <c r="H66" i="10"/>
  <c r="I66" i="10"/>
  <c r="J66" i="10"/>
  <c r="K68" i="10"/>
  <c r="L68" i="10"/>
  <c r="Q68" i="10" s="1"/>
  <c r="U68" i="10"/>
  <c r="I70" i="10"/>
  <c r="J70" i="10"/>
  <c r="K72" i="10"/>
  <c r="L72" i="10" s="1"/>
  <c r="U1" i="22"/>
  <c r="I71" i="21" s="1"/>
  <c r="N2" i="22"/>
  <c r="H3" i="22"/>
  <c r="I3" i="22"/>
  <c r="J3" i="22"/>
  <c r="U5" i="22"/>
  <c r="K7" i="22"/>
  <c r="U7" i="22"/>
  <c r="K8" i="22"/>
  <c r="L8" i="22"/>
  <c r="P8" i="22" s="1"/>
  <c r="Q8" i="22"/>
  <c r="R8" i="22"/>
  <c r="S8" i="22" s="1"/>
  <c r="U8" i="22"/>
  <c r="K9" i="22"/>
  <c r="L9" i="22" s="1"/>
  <c r="P9" i="22" s="1"/>
  <c r="U9" i="22"/>
  <c r="K10" i="22"/>
  <c r="L10" i="22" s="1"/>
  <c r="P10" i="22"/>
  <c r="U10" i="22"/>
  <c r="K11" i="22"/>
  <c r="L11" i="22"/>
  <c r="U11" i="22"/>
  <c r="H12" i="22"/>
  <c r="I12" i="22"/>
  <c r="J12" i="22"/>
  <c r="K12" i="22"/>
  <c r="K15" i="22"/>
  <c r="L15" i="22" s="1"/>
  <c r="P15" i="22" s="1"/>
  <c r="U15" i="22"/>
  <c r="K16" i="22"/>
  <c r="L16" i="22" s="1"/>
  <c r="P16" i="22"/>
  <c r="U16" i="22"/>
  <c r="K17" i="22"/>
  <c r="L17" i="22" s="1"/>
  <c r="P17" i="22"/>
  <c r="U17" i="22"/>
  <c r="K18" i="22"/>
  <c r="L18" i="22"/>
  <c r="P18" i="22" s="1"/>
  <c r="U18" i="22"/>
  <c r="K19" i="22"/>
  <c r="P19" i="22" s="1"/>
  <c r="L19" i="22"/>
  <c r="U19" i="22"/>
  <c r="H20" i="22"/>
  <c r="I20" i="22"/>
  <c r="J20" i="22"/>
  <c r="U1" i="11"/>
  <c r="I82" i="21" s="1"/>
  <c r="B2" i="11"/>
  <c r="H3" i="11"/>
  <c r="I3" i="11"/>
  <c r="J3" i="11"/>
  <c r="S5" i="11"/>
  <c r="U5" i="11"/>
  <c r="U6" i="11"/>
  <c r="K9" i="11"/>
  <c r="L9" i="11"/>
  <c r="U9" i="11"/>
  <c r="K10" i="11"/>
  <c r="L10" i="11"/>
  <c r="U10" i="11"/>
  <c r="K11" i="11"/>
  <c r="L11" i="11"/>
  <c r="U11" i="11"/>
  <c r="K12" i="11"/>
  <c r="L12" i="11"/>
  <c r="U12" i="11"/>
  <c r="H13" i="11"/>
  <c r="K13" i="11" s="1"/>
  <c r="U13" i="11"/>
  <c r="K14" i="11"/>
  <c r="L14" i="11"/>
  <c r="U14" i="11"/>
  <c r="K15" i="11"/>
  <c r="L15" i="11"/>
  <c r="U15" i="11"/>
  <c r="K16" i="11"/>
  <c r="L16" i="11"/>
  <c r="U16" i="11"/>
  <c r="K17" i="11"/>
  <c r="L17" i="11" s="1"/>
  <c r="U17" i="11"/>
  <c r="K18" i="11"/>
  <c r="L18" i="11"/>
  <c r="U18" i="11"/>
  <c r="K19" i="11"/>
  <c r="L19" i="11" s="1"/>
  <c r="U19" i="11"/>
  <c r="H20" i="11"/>
  <c r="U20" i="11"/>
  <c r="H21" i="11"/>
  <c r="K21" i="11"/>
  <c r="U21" i="11"/>
  <c r="K22" i="11"/>
  <c r="L22" i="11" s="1"/>
  <c r="U22" i="11"/>
  <c r="K25" i="11"/>
  <c r="L25" i="11"/>
  <c r="U25" i="11"/>
  <c r="K26" i="11"/>
  <c r="L26" i="11"/>
  <c r="U26" i="11"/>
  <c r="K27" i="11"/>
  <c r="L27" i="11"/>
  <c r="U27" i="11"/>
  <c r="K28" i="11"/>
  <c r="L28" i="11"/>
  <c r="U28" i="11"/>
  <c r="K29" i="11"/>
  <c r="L29" i="11" s="1"/>
  <c r="I32" i="11"/>
  <c r="J32" i="11"/>
  <c r="K34" i="11"/>
  <c r="L34" i="11"/>
  <c r="I36" i="11"/>
  <c r="J36" i="11"/>
  <c r="J65" i="11" s="1"/>
  <c r="J71" i="11" s="1"/>
  <c r="K39" i="11"/>
  <c r="L39" i="11"/>
  <c r="U39" i="11"/>
  <c r="K40" i="11"/>
  <c r="L40" i="11"/>
  <c r="U40" i="11"/>
  <c r="K41" i="11"/>
  <c r="L41" i="11"/>
  <c r="K42" i="11"/>
  <c r="L42" i="11"/>
  <c r="U42" i="11"/>
  <c r="K43" i="11"/>
  <c r="L43" i="11"/>
  <c r="U43" i="11"/>
  <c r="K44" i="11"/>
  <c r="L44" i="11"/>
  <c r="U44" i="11"/>
  <c r="K45" i="11"/>
  <c r="L45" i="11"/>
  <c r="K46" i="11"/>
  <c r="L46" i="11"/>
  <c r="U46" i="11"/>
  <c r="K47" i="11"/>
  <c r="L47" i="11"/>
  <c r="U47" i="11"/>
  <c r="K48" i="11"/>
  <c r="L48" i="11"/>
  <c r="U48" i="11"/>
  <c r="K49" i="11"/>
  <c r="L49" i="11"/>
  <c r="H50" i="11"/>
  <c r="K50" i="11" s="1"/>
  <c r="L50" i="11" s="1"/>
  <c r="I50" i="11"/>
  <c r="J50" i="11"/>
  <c r="K53" i="11"/>
  <c r="L53" i="11"/>
  <c r="U53" i="11"/>
  <c r="K54" i="11"/>
  <c r="L54" i="11" s="1"/>
  <c r="U54" i="11"/>
  <c r="K55" i="11"/>
  <c r="L55" i="11"/>
  <c r="U55" i="11"/>
  <c r="K56" i="11"/>
  <c r="L56" i="11" s="1"/>
  <c r="K57" i="11"/>
  <c r="L57" i="11"/>
  <c r="U57" i="11"/>
  <c r="K58" i="11"/>
  <c r="L58" i="11"/>
  <c r="U58" i="11"/>
  <c r="K59" i="11"/>
  <c r="L59" i="11" s="1"/>
  <c r="U59" i="11"/>
  <c r="K60" i="11"/>
  <c r="L60" i="11" s="1"/>
  <c r="U60" i="11"/>
  <c r="K61" i="11"/>
  <c r="L61" i="11"/>
  <c r="K62" i="11"/>
  <c r="L62" i="11" s="1"/>
  <c r="U62" i="11"/>
  <c r="H63" i="11"/>
  <c r="K63" i="11" s="1"/>
  <c r="I63" i="11"/>
  <c r="J63" i="11"/>
  <c r="I65" i="11"/>
  <c r="H67" i="11"/>
  <c r="K67" i="11" s="1"/>
  <c r="L67" i="11"/>
  <c r="U67" i="11"/>
  <c r="K69" i="11"/>
  <c r="L69" i="11" s="1"/>
  <c r="I71" i="11"/>
  <c r="Q6" i="2"/>
  <c r="AE6" i="2" s="1"/>
  <c r="Q7" i="2"/>
  <c r="AE7" i="2" s="1"/>
  <c r="Q8" i="2"/>
  <c r="AE8" i="2" s="1"/>
  <c r="Q9" i="2"/>
  <c r="AE9" i="2" s="1"/>
  <c r="Q10" i="2"/>
  <c r="AE10" i="2"/>
  <c r="Q11" i="2"/>
  <c r="AE11" i="2"/>
  <c r="Q12" i="2"/>
  <c r="AE12" i="2" s="1"/>
  <c r="Q13" i="2"/>
  <c r="AE13" i="2"/>
  <c r="Q14" i="2"/>
  <c r="AE14" i="2"/>
  <c r="Q15" i="2"/>
  <c r="AE15" i="2"/>
  <c r="Q16" i="2"/>
  <c r="AE16" i="2"/>
  <c r="Q17" i="2"/>
  <c r="AE17" i="2"/>
  <c r="Q18" i="2"/>
  <c r="AE18" i="2" s="1"/>
  <c r="Q19" i="2"/>
  <c r="AE19" i="2"/>
  <c r="Q20" i="2"/>
  <c r="AE20" i="2" s="1"/>
  <c r="Q21" i="2"/>
  <c r="AE21" i="2" s="1"/>
  <c r="Q22" i="2"/>
  <c r="AE22" i="2" s="1"/>
  <c r="Q23" i="2"/>
  <c r="AE23" i="2"/>
  <c r="Q24" i="2"/>
  <c r="AE24" i="2" s="1"/>
  <c r="Q25" i="2"/>
  <c r="AE25" i="2"/>
  <c r="Q26" i="2"/>
  <c r="AE26" i="2" s="1"/>
  <c r="Q27" i="2"/>
  <c r="AE27" i="2" s="1"/>
  <c r="Q28" i="2"/>
  <c r="AE28" i="2" s="1"/>
  <c r="Q29" i="2"/>
  <c r="AE29" i="2" s="1"/>
  <c r="Q30" i="2"/>
  <c r="AE30" i="2" s="1"/>
  <c r="Q31" i="2"/>
  <c r="AE31" i="2"/>
  <c r="Q32" i="2"/>
  <c r="AE32" i="2" s="1"/>
  <c r="Q33" i="2"/>
  <c r="AE33" i="2"/>
  <c r="Q34" i="2"/>
  <c r="AE34" i="2" s="1"/>
  <c r="Q35" i="2"/>
  <c r="AE35" i="2" s="1"/>
  <c r="Q36" i="2"/>
  <c r="AE36" i="2" s="1"/>
  <c r="Q37" i="2"/>
  <c r="AE37" i="2"/>
  <c r="Q38" i="2"/>
  <c r="AE38" i="2"/>
  <c r="Q39" i="2"/>
  <c r="AE39" i="2"/>
  <c r="Q40" i="2"/>
  <c r="AE40" i="2"/>
  <c r="Q41" i="2"/>
  <c r="AE41" i="2"/>
  <c r="Q42" i="2"/>
  <c r="AE42" i="2" s="1"/>
  <c r="Q43" i="2"/>
  <c r="AE43" i="2" s="1"/>
  <c r="Q44" i="2"/>
  <c r="AE44" i="2"/>
  <c r="Q45" i="2"/>
  <c r="AE45" i="2"/>
  <c r="Q46" i="2"/>
  <c r="AE46" i="2"/>
  <c r="Q47" i="2"/>
  <c r="AE47" i="2" s="1"/>
  <c r="Q48" i="2"/>
  <c r="AE48" i="2" s="1"/>
  <c r="Q49" i="2"/>
  <c r="AE49" i="2"/>
  <c r="Q50" i="2"/>
  <c r="AE50" i="2" s="1"/>
  <c r="H51" i="2"/>
  <c r="I51" i="2"/>
  <c r="J51" i="2"/>
  <c r="K51" i="2"/>
  <c r="L51" i="2"/>
  <c r="L61" i="2" s="1"/>
  <c r="H15" i="14" s="1"/>
  <c r="M51" i="2"/>
  <c r="M61" i="2" s="1"/>
  <c r="H16" i="14" s="1"/>
  <c r="N51" i="2"/>
  <c r="O51" i="2"/>
  <c r="P51" i="2"/>
  <c r="R51" i="2"/>
  <c r="R61" i="2" s="1"/>
  <c r="S51" i="2"/>
  <c r="T51" i="2"/>
  <c r="U51" i="2"/>
  <c r="V51" i="2"/>
  <c r="W51" i="2"/>
  <c r="X51" i="2"/>
  <c r="Y51" i="2"/>
  <c r="Z51" i="2"/>
  <c r="AA51" i="2"/>
  <c r="AB51" i="2"/>
  <c r="AB61" i="2" s="1"/>
  <c r="H33" i="14" s="1"/>
  <c r="AC51" i="2"/>
  <c r="AD51" i="2"/>
  <c r="Q53" i="2"/>
  <c r="AE53" i="2" s="1"/>
  <c r="Q56" i="2"/>
  <c r="Q59" i="2" s="1"/>
  <c r="Q57" i="2"/>
  <c r="AE57" i="2"/>
  <c r="Q58" i="2"/>
  <c r="AE58" i="2" s="1"/>
  <c r="H59" i="2"/>
  <c r="I59" i="2"/>
  <c r="I61" i="2" s="1"/>
  <c r="J59" i="2"/>
  <c r="K59" i="2"/>
  <c r="K61" i="2" s="1"/>
  <c r="H14" i="14" s="1"/>
  <c r="L59" i="2"/>
  <c r="M59" i="2"/>
  <c r="N59" i="2"/>
  <c r="O59" i="2"/>
  <c r="O61" i="2" s="1"/>
  <c r="H18" i="14" s="1"/>
  <c r="P59" i="2"/>
  <c r="R59" i="2"/>
  <c r="S59" i="2"/>
  <c r="T59" i="2"/>
  <c r="U59" i="2"/>
  <c r="V59" i="2"/>
  <c r="W59" i="2"/>
  <c r="X59" i="2"/>
  <c r="Y59" i="2"/>
  <c r="Y61" i="2" s="1"/>
  <c r="H29" i="14" s="1"/>
  <c r="Z59" i="2"/>
  <c r="AA59" i="2"/>
  <c r="AB59" i="2"/>
  <c r="AC59" i="2"/>
  <c r="AD59" i="2"/>
  <c r="P61" i="2"/>
  <c r="H19" i="14" s="1"/>
  <c r="Z61" i="2"/>
  <c r="AA61" i="2"/>
  <c r="Q63" i="2"/>
  <c r="AE63" i="2"/>
  <c r="Q65" i="2"/>
  <c r="AE65" i="2" s="1"/>
  <c r="H3" i="17"/>
  <c r="L3" i="17"/>
  <c r="P3" i="17"/>
  <c r="X5" i="17"/>
  <c r="AE5" i="17"/>
  <c r="C8" i="17"/>
  <c r="K9" i="17"/>
  <c r="O9" i="17"/>
  <c r="S9" i="17"/>
  <c r="K10" i="17"/>
  <c r="O10" i="17"/>
  <c r="S10" i="17"/>
  <c r="K11" i="17"/>
  <c r="O11" i="17"/>
  <c r="S11" i="17"/>
  <c r="S16" i="17" s="1"/>
  <c r="K12" i="17"/>
  <c r="O12" i="17"/>
  <c r="U12" i="17" s="1"/>
  <c r="S12" i="17"/>
  <c r="V12" i="17"/>
  <c r="AA12" i="17"/>
  <c r="K13" i="17"/>
  <c r="O13" i="17"/>
  <c r="S13" i="17"/>
  <c r="K14" i="17"/>
  <c r="O14" i="17"/>
  <c r="S14" i="17"/>
  <c r="K15" i="17"/>
  <c r="O15" i="17"/>
  <c r="S15" i="17"/>
  <c r="U15" i="17"/>
  <c r="V15" i="17"/>
  <c r="Z15" i="17"/>
  <c r="H16" i="17"/>
  <c r="I16" i="17"/>
  <c r="J16" i="17"/>
  <c r="L16" i="17"/>
  <c r="M16" i="17"/>
  <c r="N16" i="17"/>
  <c r="P16" i="17"/>
  <c r="Q16" i="17"/>
  <c r="R16" i="17"/>
  <c r="C17" i="17"/>
  <c r="K18" i="17"/>
  <c r="O18" i="17"/>
  <c r="S18" i="17"/>
  <c r="K19" i="17"/>
  <c r="O19" i="17"/>
  <c r="S19" i="17"/>
  <c r="K20" i="17"/>
  <c r="O20" i="17"/>
  <c r="S20" i="17"/>
  <c r="K21" i="17"/>
  <c r="O21" i="17"/>
  <c r="S21" i="17"/>
  <c r="K22" i="17"/>
  <c r="U22" i="17" s="1"/>
  <c r="O22" i="17"/>
  <c r="S22" i="17"/>
  <c r="K23" i="17"/>
  <c r="O23" i="17"/>
  <c r="U23" i="17" s="1"/>
  <c r="S23" i="17"/>
  <c r="K24" i="17"/>
  <c r="O24" i="17"/>
  <c r="S24" i="17"/>
  <c r="S25" i="17" s="1"/>
  <c r="H25" i="17"/>
  <c r="I25" i="17"/>
  <c r="J25" i="17"/>
  <c r="L25" i="17"/>
  <c r="M25" i="17"/>
  <c r="N25" i="17"/>
  <c r="P25" i="17"/>
  <c r="Q25" i="17"/>
  <c r="R25" i="17"/>
  <c r="H27" i="17"/>
  <c r="I27" i="17"/>
  <c r="J27" i="17"/>
  <c r="L27" i="17"/>
  <c r="M27" i="17"/>
  <c r="N27" i="17"/>
  <c r="P27" i="17"/>
  <c r="S27" i="17" s="1"/>
  <c r="Q27" i="17"/>
  <c r="Q34" i="17" s="1"/>
  <c r="Q46" i="17" s="1"/>
  <c r="R27" i="17"/>
  <c r="H28" i="17"/>
  <c r="I28" i="17"/>
  <c r="J28" i="17"/>
  <c r="L28" i="17"/>
  <c r="M28" i="17"/>
  <c r="N28" i="17"/>
  <c r="P28" i="17"/>
  <c r="Q28" i="17"/>
  <c r="R28" i="17"/>
  <c r="S28" i="17"/>
  <c r="H29" i="17"/>
  <c r="I29" i="17"/>
  <c r="J29" i="17"/>
  <c r="L29" i="17"/>
  <c r="M29" i="17"/>
  <c r="N29" i="17"/>
  <c r="P29" i="17"/>
  <c r="Q29" i="17"/>
  <c r="R29" i="17"/>
  <c r="S29" i="17"/>
  <c r="H30" i="17"/>
  <c r="I30" i="17"/>
  <c r="J30" i="17"/>
  <c r="L30" i="17"/>
  <c r="M30" i="17"/>
  <c r="N30" i="17"/>
  <c r="P30" i="17"/>
  <c r="S30" i="17" s="1"/>
  <c r="Q30" i="17"/>
  <c r="R30" i="17"/>
  <c r="R34" i="17" s="1"/>
  <c r="R46" i="17" s="1"/>
  <c r="H31" i="17"/>
  <c r="I31" i="17"/>
  <c r="J31" i="17"/>
  <c r="L31" i="17"/>
  <c r="M31" i="17"/>
  <c r="N31" i="17"/>
  <c r="P31" i="17"/>
  <c r="Q31" i="17"/>
  <c r="R31" i="17"/>
  <c r="S31" i="17"/>
  <c r="H32" i="17"/>
  <c r="I32" i="17"/>
  <c r="J32" i="17"/>
  <c r="L32" i="17"/>
  <c r="M32" i="17"/>
  <c r="N32" i="17"/>
  <c r="P32" i="17"/>
  <c r="S32" i="17" s="1"/>
  <c r="S34" i="17" s="1"/>
  <c r="Q32" i="17"/>
  <c r="R32" i="17"/>
  <c r="H33" i="17"/>
  <c r="I33" i="17"/>
  <c r="J33" i="17"/>
  <c r="L33" i="17"/>
  <c r="M33" i="17"/>
  <c r="N33" i="17"/>
  <c r="P33" i="17"/>
  <c r="Q33" i="17"/>
  <c r="R33" i="17"/>
  <c r="S33" i="17"/>
  <c r="K37" i="17"/>
  <c r="O37" i="17"/>
  <c r="S37" i="17"/>
  <c r="K38" i="17"/>
  <c r="O38" i="17"/>
  <c r="S38" i="17"/>
  <c r="K39" i="17"/>
  <c r="U39" i="17" s="1"/>
  <c r="O39" i="17"/>
  <c r="S39" i="17"/>
  <c r="T39" i="17"/>
  <c r="K40" i="17"/>
  <c r="T40" i="17" s="1"/>
  <c r="O40" i="17"/>
  <c r="S40" i="17"/>
  <c r="U40" i="17"/>
  <c r="V40" i="17"/>
  <c r="Z40" i="17" s="1"/>
  <c r="K41" i="17"/>
  <c r="T41" i="17" s="1"/>
  <c r="O41" i="17"/>
  <c r="S41" i="17"/>
  <c r="K42" i="17"/>
  <c r="T42" i="17" s="1"/>
  <c r="O42" i="17"/>
  <c r="S42" i="17"/>
  <c r="U42" i="17"/>
  <c r="K43" i="17"/>
  <c r="T43" i="17" s="1"/>
  <c r="O43" i="17"/>
  <c r="S43" i="17"/>
  <c r="H44" i="17"/>
  <c r="I44" i="17"/>
  <c r="J44" i="17"/>
  <c r="L44" i="17"/>
  <c r="M44" i="17"/>
  <c r="N44" i="17"/>
  <c r="P44" i="17"/>
  <c r="Q44" i="17"/>
  <c r="R44" i="17"/>
  <c r="T49" i="17"/>
  <c r="U49" i="17"/>
  <c r="V49" i="17"/>
  <c r="AA49" i="17" s="1"/>
  <c r="T50" i="17"/>
  <c r="U50" i="17"/>
  <c r="V50" i="17" s="1"/>
  <c r="T51" i="17"/>
  <c r="U51" i="17"/>
  <c r="V51" i="17"/>
  <c r="T52" i="17"/>
  <c r="U52" i="17"/>
  <c r="V52" i="17"/>
  <c r="AA52" i="17"/>
  <c r="T53" i="17"/>
  <c r="U53" i="17"/>
  <c r="V53" i="17"/>
  <c r="T54" i="17"/>
  <c r="U54" i="17"/>
  <c r="V54" i="17"/>
  <c r="Z54" i="17"/>
  <c r="T55" i="17"/>
  <c r="U55" i="17"/>
  <c r="V55" i="17"/>
  <c r="K56" i="17"/>
  <c r="U56" i="17" s="1"/>
  <c r="O56" i="17"/>
  <c r="S56" i="17"/>
  <c r="T60" i="17"/>
  <c r="U60" i="17"/>
  <c r="V60" i="17" s="1"/>
  <c r="T61" i="17"/>
  <c r="U61" i="17"/>
  <c r="V61" i="17"/>
  <c r="Z61" i="17" s="1"/>
  <c r="T63" i="17"/>
  <c r="U63" i="17"/>
  <c r="Z63" i="17" s="1"/>
  <c r="V63" i="17"/>
  <c r="T64" i="17"/>
  <c r="U64" i="17"/>
  <c r="V64" i="17"/>
  <c r="K65" i="17"/>
  <c r="O65" i="17"/>
  <c r="S65" i="17"/>
  <c r="H3" i="14"/>
  <c r="I3" i="14"/>
  <c r="J3" i="14"/>
  <c r="I20" i="14"/>
  <c r="I27" i="14" s="1"/>
  <c r="I37" i="14" s="1"/>
  <c r="J20" i="14"/>
  <c r="J27" i="14"/>
  <c r="J37" i="14" s="1"/>
  <c r="I32" i="14"/>
  <c r="J32" i="14"/>
  <c r="I36" i="14"/>
  <c r="J36" i="14"/>
  <c r="H44" i="14"/>
  <c r="H55" i="14" s="1"/>
  <c r="H9" i="9" s="1"/>
  <c r="I44" i="14"/>
  <c r="I55" i="14" s="1"/>
  <c r="J44" i="14"/>
  <c r="H48" i="14"/>
  <c r="I48" i="14"/>
  <c r="J48" i="14"/>
  <c r="J55" i="14"/>
  <c r="H65" i="14"/>
  <c r="H11" i="9" s="1"/>
  <c r="I65" i="14"/>
  <c r="J65" i="14"/>
  <c r="H15" i="15"/>
  <c r="H14" i="19"/>
  <c r="H7" i="14" s="1"/>
  <c r="H7" i="9" s="1"/>
  <c r="H11" i="18"/>
  <c r="J6" i="3"/>
  <c r="J7" i="3"/>
  <c r="O7" i="3" s="1"/>
  <c r="J8" i="3"/>
  <c r="J9" i="3"/>
  <c r="O9" i="3"/>
  <c r="J10" i="3"/>
  <c r="O10" i="3" s="1"/>
  <c r="J11" i="3"/>
  <c r="O11" i="3"/>
  <c r="J12" i="3"/>
  <c r="J13" i="3"/>
  <c r="O13" i="3" s="1"/>
  <c r="J14" i="3"/>
  <c r="J15" i="3"/>
  <c r="J16" i="3"/>
  <c r="O16" i="3" s="1"/>
  <c r="J17" i="3"/>
  <c r="O17" i="3"/>
  <c r="J18" i="3"/>
  <c r="O18" i="3"/>
  <c r="J19" i="3"/>
  <c r="J20" i="3"/>
  <c r="J21" i="3"/>
  <c r="O21" i="3" s="1"/>
  <c r="J22" i="3"/>
  <c r="O22" i="3" s="1"/>
  <c r="J23" i="3"/>
  <c r="O23" i="3" s="1"/>
  <c r="J24" i="3"/>
  <c r="O24" i="3" s="1"/>
  <c r="J25" i="3"/>
  <c r="O25" i="3" s="1"/>
  <c r="J26" i="3"/>
  <c r="J27" i="3"/>
  <c r="O27" i="3" s="1"/>
  <c r="J28" i="3"/>
  <c r="J29" i="3"/>
  <c r="O29" i="3" s="1"/>
  <c r="J30" i="3"/>
  <c r="O30" i="3"/>
  <c r="J31" i="3"/>
  <c r="O31" i="3"/>
  <c r="J32" i="3"/>
  <c r="J33" i="3"/>
  <c r="O33" i="3" s="1"/>
  <c r="J34" i="3"/>
  <c r="O34" i="3"/>
  <c r="J35" i="3"/>
  <c r="O35" i="3"/>
  <c r="J36" i="3"/>
  <c r="O36" i="3" s="1"/>
  <c r="J37" i="3"/>
  <c r="O37" i="3"/>
  <c r="J38" i="3"/>
  <c r="J39" i="3"/>
  <c r="J40" i="3"/>
  <c r="O40" i="3" s="1"/>
  <c r="J41" i="3"/>
  <c r="J42" i="3"/>
  <c r="O42" i="3" s="1"/>
  <c r="J43" i="3"/>
  <c r="O43" i="3"/>
  <c r="J44" i="3"/>
  <c r="J45" i="3"/>
  <c r="J46" i="3"/>
  <c r="O46" i="3" s="1"/>
  <c r="J47" i="3"/>
  <c r="O47" i="3"/>
  <c r="J48" i="3"/>
  <c r="O48" i="3"/>
  <c r="J49" i="3"/>
  <c r="O49" i="3" s="1"/>
  <c r="J50" i="3"/>
  <c r="O50" i="3"/>
  <c r="H51" i="3"/>
  <c r="I51" i="3"/>
  <c r="L51" i="3"/>
  <c r="M51" i="3"/>
  <c r="J53" i="3"/>
  <c r="O53" i="3"/>
  <c r="J56" i="3"/>
  <c r="O56" i="3" s="1"/>
  <c r="O58" i="3"/>
  <c r="O59" i="3"/>
  <c r="J60" i="3"/>
  <c r="O60" i="3"/>
  <c r="H61" i="3"/>
  <c r="H63" i="3" s="1"/>
  <c r="I61" i="3"/>
  <c r="J61" i="3"/>
  <c r="O61" i="3" s="1"/>
  <c r="L61" i="3"/>
  <c r="M61" i="3"/>
  <c r="J62" i="3"/>
  <c r="O62" i="3" s="1"/>
  <c r="I63" i="3"/>
  <c r="L63" i="3"/>
  <c r="M63" i="3"/>
  <c r="J66" i="3"/>
  <c r="J68" i="3" s="1"/>
  <c r="O66" i="3"/>
  <c r="J67" i="3"/>
  <c r="O67" i="3"/>
  <c r="I68" i="3"/>
  <c r="L68" i="3"/>
  <c r="M68" i="3"/>
  <c r="N68" i="3"/>
  <c r="J71" i="3"/>
  <c r="J72" i="3"/>
  <c r="O72" i="3"/>
  <c r="I73" i="3"/>
  <c r="L73" i="3"/>
  <c r="M73" i="3"/>
  <c r="N73" i="3"/>
  <c r="J77" i="3"/>
  <c r="O77" i="3"/>
  <c r="J78" i="3"/>
  <c r="O78" i="3" s="1"/>
  <c r="J79" i="3"/>
  <c r="O79" i="3"/>
  <c r="J80" i="3"/>
  <c r="O80" i="3"/>
  <c r="J81" i="3"/>
  <c r="O81" i="3" s="1"/>
  <c r="J82" i="3"/>
  <c r="O82" i="3"/>
  <c r="J83" i="3"/>
  <c r="O83" i="3" s="1"/>
  <c r="J84" i="3"/>
  <c r="O84" i="3" s="1"/>
  <c r="J85" i="3"/>
  <c r="O85" i="3" s="1"/>
  <c r="H86" i="3"/>
  <c r="I86" i="3"/>
  <c r="I99" i="3" s="1"/>
  <c r="L86" i="3"/>
  <c r="M86" i="3"/>
  <c r="M99" i="3" s="1"/>
  <c r="J87" i="3"/>
  <c r="O87" i="3"/>
  <c r="J88" i="3"/>
  <c r="O88" i="3" s="1"/>
  <c r="J89" i="3"/>
  <c r="O89" i="3"/>
  <c r="J90" i="3"/>
  <c r="O90" i="3" s="1"/>
  <c r="J91" i="3"/>
  <c r="O91" i="3" s="1"/>
  <c r="J92" i="3"/>
  <c r="O92" i="3"/>
  <c r="J93" i="3"/>
  <c r="O93" i="3" s="1"/>
  <c r="J94" i="3"/>
  <c r="O94" i="3" s="1"/>
  <c r="J95" i="3"/>
  <c r="O95" i="3"/>
  <c r="J96" i="3"/>
  <c r="O96" i="3"/>
  <c r="J97" i="3"/>
  <c r="O97" i="3" s="1"/>
  <c r="J98" i="3"/>
  <c r="O98" i="3" s="1"/>
  <c r="H99" i="3"/>
  <c r="L99" i="3"/>
  <c r="J102" i="3"/>
  <c r="O102" i="3"/>
  <c r="J103" i="3"/>
  <c r="O103" i="3" s="1"/>
  <c r="H104" i="3"/>
  <c r="I104" i="3"/>
  <c r="K104" i="3"/>
  <c r="K106" i="3" s="1"/>
  <c r="H16" i="9" s="1"/>
  <c r="L104" i="3"/>
  <c r="M104" i="3"/>
  <c r="N104" i="3"/>
  <c r="O6" i="7"/>
  <c r="O7" i="7"/>
  <c r="O8" i="7"/>
  <c r="O11" i="7"/>
  <c r="O12" i="7"/>
  <c r="O13" i="7"/>
  <c r="O16" i="7"/>
  <c r="O17" i="7"/>
  <c r="O18" i="7"/>
  <c r="H20" i="7"/>
  <c r="I20" i="7"/>
  <c r="J20" i="7"/>
  <c r="K20" i="7"/>
  <c r="L20" i="7"/>
  <c r="M20" i="7"/>
  <c r="N20" i="7"/>
  <c r="N1" i="28"/>
  <c r="I177" i="21" s="1"/>
  <c r="B2" i="28"/>
  <c r="H3" i="28"/>
  <c r="I3" i="28"/>
  <c r="J3" i="28"/>
  <c r="K3" i="28"/>
  <c r="L3" i="28"/>
  <c r="N5" i="28"/>
  <c r="N6" i="28"/>
  <c r="O6" i="28"/>
  <c r="Q6" i="28" s="1"/>
  <c r="J173" i="21" s="1"/>
  <c r="P6" i="28"/>
  <c r="R6" i="28"/>
  <c r="T6" i="28" s="1"/>
  <c r="S6" i="28"/>
  <c r="U6" i="28"/>
  <c r="V6" i="28"/>
  <c r="W6" i="28"/>
  <c r="X6" i="28"/>
  <c r="Z6" i="28" s="1"/>
  <c r="Y6" i="28"/>
  <c r="N7" i="28"/>
  <c r="O7" i="28"/>
  <c r="Q7" i="28" s="1"/>
  <c r="P7" i="28"/>
  <c r="R7" i="28"/>
  <c r="S7" i="28"/>
  <c r="T7" i="28"/>
  <c r="U7" i="28"/>
  <c r="W7" i="28" s="1"/>
  <c r="V7" i="28"/>
  <c r="X7" i="28"/>
  <c r="Y7" i="28"/>
  <c r="Z7" i="28"/>
  <c r="N8" i="28"/>
  <c r="O8" i="28"/>
  <c r="P8" i="28"/>
  <c r="Q8" i="28"/>
  <c r="R8" i="28"/>
  <c r="S8" i="28"/>
  <c r="T8" i="28"/>
  <c r="U8" i="28"/>
  <c r="W8" i="28" s="1"/>
  <c r="V8" i="28"/>
  <c r="X8" i="28"/>
  <c r="Y8" i="28"/>
  <c r="Z8" i="28"/>
  <c r="N9" i="28"/>
  <c r="O9" i="28"/>
  <c r="Q9" i="28" s="1"/>
  <c r="P9" i="28"/>
  <c r="R9" i="28"/>
  <c r="S9" i="28"/>
  <c r="T9" i="28"/>
  <c r="U9" i="28"/>
  <c r="W9" i="28" s="1"/>
  <c r="V9" i="28"/>
  <c r="X9" i="28"/>
  <c r="Z9" i="28" s="1"/>
  <c r="Y9" i="28"/>
  <c r="N10" i="28"/>
  <c r="O10" i="28"/>
  <c r="P10" i="28"/>
  <c r="Q10" i="28"/>
  <c r="R10" i="28"/>
  <c r="T10" i="28" s="1"/>
  <c r="S10" i="28"/>
  <c r="U10" i="28"/>
  <c r="V10" i="28"/>
  <c r="W10" i="28"/>
  <c r="X10" i="28"/>
  <c r="Z10" i="28" s="1"/>
  <c r="Y10" i="28"/>
  <c r="N11" i="28"/>
  <c r="O11" i="28"/>
  <c r="P11" i="28"/>
  <c r="Q11" i="28"/>
  <c r="R11" i="28"/>
  <c r="T11" i="28" s="1"/>
  <c r="S11" i="28"/>
  <c r="U11" i="28"/>
  <c r="V11" i="28"/>
  <c r="W11" i="28"/>
  <c r="X11" i="28"/>
  <c r="Y11" i="28"/>
  <c r="Z11" i="28"/>
  <c r="N15" i="28"/>
  <c r="O15" i="28"/>
  <c r="P15" i="28"/>
  <c r="Q15" i="28"/>
  <c r="R15" i="28"/>
  <c r="T15" i="28" s="1"/>
  <c r="S15" i="28"/>
  <c r="U15" i="28"/>
  <c r="W15" i="28" s="1"/>
  <c r="V15" i="28"/>
  <c r="X15" i="28"/>
  <c r="Z15" i="28" s="1"/>
  <c r="Y15" i="28"/>
  <c r="N16" i="28"/>
  <c r="O16" i="28"/>
  <c r="P16" i="28"/>
  <c r="Q16" i="28"/>
  <c r="R16" i="28"/>
  <c r="S16" i="28"/>
  <c r="T16" i="28"/>
  <c r="U16" i="28"/>
  <c r="W16" i="28" s="1"/>
  <c r="V16" i="28"/>
  <c r="X16" i="28"/>
  <c r="Y16" i="28"/>
  <c r="Z16" i="28"/>
  <c r="N17" i="28"/>
  <c r="O17" i="28"/>
  <c r="Q17" i="28" s="1"/>
  <c r="P17" i="28"/>
  <c r="R17" i="28"/>
  <c r="S17" i="28"/>
  <c r="T17" i="28"/>
  <c r="U17" i="28"/>
  <c r="V17" i="28"/>
  <c r="W17" i="28"/>
  <c r="X17" i="28"/>
  <c r="Y17" i="28"/>
  <c r="Z17" i="28"/>
  <c r="N18" i="28"/>
  <c r="O18" i="28"/>
  <c r="Q18" i="28" s="1"/>
  <c r="P18" i="28"/>
  <c r="R18" i="28"/>
  <c r="T18" i="28" s="1"/>
  <c r="S18" i="28"/>
  <c r="U18" i="28"/>
  <c r="W18" i="28" s="1"/>
  <c r="V18" i="28"/>
  <c r="X18" i="28"/>
  <c r="Y18" i="28"/>
  <c r="Z18" i="28"/>
  <c r="N19" i="28"/>
  <c r="O19" i="28"/>
  <c r="P19" i="28"/>
  <c r="Q19" i="28"/>
  <c r="R19" i="28"/>
  <c r="T19" i="28" s="1"/>
  <c r="S19" i="28"/>
  <c r="U19" i="28"/>
  <c r="V19" i="28"/>
  <c r="W19" i="28"/>
  <c r="X19" i="28"/>
  <c r="Z19" i="28" s="1"/>
  <c r="Y19" i="28"/>
  <c r="N24" i="28"/>
  <c r="O24" i="28"/>
  <c r="P24" i="28"/>
  <c r="Q24" i="28"/>
  <c r="R24" i="28"/>
  <c r="S24" i="28"/>
  <c r="T24" i="28"/>
  <c r="U24" i="28"/>
  <c r="V24" i="28"/>
  <c r="W24" i="28"/>
  <c r="X24" i="28"/>
  <c r="Z24" i="28" s="1"/>
  <c r="Y24" i="28"/>
  <c r="N26" i="28"/>
  <c r="O26" i="28"/>
  <c r="Q26" i="28" s="1"/>
  <c r="P26" i="28"/>
  <c r="R26" i="28"/>
  <c r="T26" i="28" s="1"/>
  <c r="S26" i="28"/>
  <c r="U26" i="28"/>
  <c r="V26" i="28"/>
  <c r="W26" i="28"/>
  <c r="X26" i="28"/>
  <c r="Z26" i="28" s="1"/>
  <c r="Y26" i="28"/>
  <c r="N27" i="28"/>
  <c r="O27" i="28"/>
  <c r="Q27" i="28" s="1"/>
  <c r="P27" i="28"/>
  <c r="R27" i="28"/>
  <c r="S27" i="28"/>
  <c r="T27" i="28"/>
  <c r="U27" i="28"/>
  <c r="W27" i="28" s="1"/>
  <c r="V27" i="28"/>
  <c r="X27" i="28"/>
  <c r="Y27" i="28"/>
  <c r="Z27" i="28"/>
  <c r="N28" i="28"/>
  <c r="O28" i="28"/>
  <c r="P28" i="28"/>
  <c r="Q28" i="28"/>
  <c r="R28" i="28"/>
  <c r="S28" i="28"/>
  <c r="T28" i="28"/>
  <c r="U28" i="28"/>
  <c r="W28" i="28" s="1"/>
  <c r="V28" i="28"/>
  <c r="X28" i="28"/>
  <c r="Y28" i="28"/>
  <c r="Z28" i="28"/>
  <c r="N32" i="28"/>
  <c r="O32" i="28"/>
  <c r="Q32" i="28" s="1"/>
  <c r="P32" i="28"/>
  <c r="R32" i="28"/>
  <c r="S32" i="28"/>
  <c r="T32" i="28"/>
  <c r="U32" i="28"/>
  <c r="W32" i="28" s="1"/>
  <c r="V32" i="28"/>
  <c r="X32" i="28"/>
  <c r="Z32" i="28" s="1"/>
  <c r="Y32" i="28"/>
  <c r="N36" i="28"/>
  <c r="O36" i="28"/>
  <c r="P36" i="28"/>
  <c r="Q36" i="28"/>
  <c r="R36" i="28"/>
  <c r="T36" i="28" s="1"/>
  <c r="S36" i="28"/>
  <c r="U36" i="28"/>
  <c r="V36" i="28"/>
  <c r="W36" i="28"/>
  <c r="X36" i="28"/>
  <c r="Z36" i="28" s="1"/>
  <c r="Y36" i="28"/>
  <c r="N37" i="28"/>
  <c r="O37" i="28"/>
  <c r="P37" i="28"/>
  <c r="Q37" i="28"/>
  <c r="R37" i="28"/>
  <c r="T37" i="28" s="1"/>
  <c r="S37" i="28"/>
  <c r="U37" i="28"/>
  <c r="V37" i="28"/>
  <c r="W37" i="28"/>
  <c r="X37" i="28"/>
  <c r="Y37" i="28"/>
  <c r="Z37" i="28"/>
  <c r="N38" i="28"/>
  <c r="O38" i="28"/>
  <c r="P38" i="28"/>
  <c r="Q38" i="28"/>
  <c r="R38" i="28"/>
  <c r="T38" i="28" s="1"/>
  <c r="S38" i="28"/>
  <c r="U38" i="28"/>
  <c r="W38" i="28" s="1"/>
  <c r="V38" i="28"/>
  <c r="X38" i="28"/>
  <c r="Z38" i="28" s="1"/>
  <c r="Y38" i="28"/>
  <c r="N39" i="28"/>
  <c r="O39" i="28"/>
  <c r="P39" i="28"/>
  <c r="Q39" i="28"/>
  <c r="R39" i="28"/>
  <c r="S39" i="28"/>
  <c r="T39" i="28"/>
  <c r="U39" i="28"/>
  <c r="W39" i="28" s="1"/>
  <c r="V39" i="28"/>
  <c r="X39" i="28"/>
  <c r="Z39" i="28" s="1"/>
  <c r="Y39" i="28"/>
  <c r="N44" i="28"/>
  <c r="O44" i="28"/>
  <c r="Q44" i="28" s="1"/>
  <c r="P44" i="28"/>
  <c r="R44" i="28"/>
  <c r="S44" i="28"/>
  <c r="T44" i="28"/>
  <c r="U44" i="28"/>
  <c r="V44" i="28"/>
  <c r="W44" i="28"/>
  <c r="X44" i="28"/>
  <c r="Y44" i="28"/>
  <c r="Z44" i="28"/>
  <c r="N45" i="28"/>
  <c r="O45" i="28"/>
  <c r="Q45" i="28" s="1"/>
  <c r="P45" i="28"/>
  <c r="R45" i="28"/>
  <c r="T45" i="28" s="1"/>
  <c r="S45" i="28"/>
  <c r="U45" i="28"/>
  <c r="W45" i="28" s="1"/>
  <c r="V45" i="28"/>
  <c r="X45" i="28"/>
  <c r="Y45" i="28"/>
  <c r="Z45" i="28"/>
  <c r="N46" i="28"/>
  <c r="O46" i="28"/>
  <c r="P46" i="28"/>
  <c r="Q46" i="28"/>
  <c r="R46" i="28"/>
  <c r="T46" i="28" s="1"/>
  <c r="S46" i="28"/>
  <c r="U46" i="28"/>
  <c r="W46" i="28" s="1"/>
  <c r="V46" i="28"/>
  <c r="X46" i="28"/>
  <c r="Z46" i="28" s="1"/>
  <c r="Y46" i="28"/>
  <c r="N47" i="28"/>
  <c r="O47" i="28"/>
  <c r="P47" i="28"/>
  <c r="Q47" i="28"/>
  <c r="R47" i="28"/>
  <c r="S47" i="28"/>
  <c r="T47" i="28"/>
  <c r="U47" i="28"/>
  <c r="V47" i="28"/>
  <c r="W47" i="28"/>
  <c r="X47" i="28"/>
  <c r="Z47" i="28" s="1"/>
  <c r="Y47" i="28"/>
  <c r="N49" i="28"/>
  <c r="O49" i="28"/>
  <c r="Q49" i="28" s="1"/>
  <c r="P49" i="28"/>
  <c r="R49" i="28"/>
  <c r="T49" i="28" s="1"/>
  <c r="S49" i="28"/>
  <c r="U49" i="28"/>
  <c r="V49" i="28"/>
  <c r="W49" i="28"/>
  <c r="X49" i="28"/>
  <c r="Z49" i="28" s="1"/>
  <c r="Y49" i="28"/>
  <c r="N53" i="28"/>
  <c r="O53" i="28"/>
  <c r="Q53" i="28" s="1"/>
  <c r="P53" i="28"/>
  <c r="R53" i="28"/>
  <c r="T53" i="28" s="1"/>
  <c r="S53" i="28"/>
  <c r="U53" i="28"/>
  <c r="W53" i="28" s="1"/>
  <c r="V53" i="28"/>
  <c r="X53" i="28"/>
  <c r="Y53" i="28"/>
  <c r="Z53" i="28"/>
  <c r="N54" i="28"/>
  <c r="O54" i="28"/>
  <c r="P54" i="28"/>
  <c r="Q54" i="28"/>
  <c r="R54" i="28"/>
  <c r="S54" i="28"/>
  <c r="T54" i="28"/>
  <c r="U54" i="28"/>
  <c r="W54" i="28" s="1"/>
  <c r="V54" i="28"/>
  <c r="X54" i="28"/>
  <c r="Y54" i="28"/>
  <c r="Z54" i="28"/>
  <c r="H3" i="31"/>
  <c r="T3" i="31"/>
  <c r="V3" i="31"/>
  <c r="X3" i="31"/>
  <c r="Z3" i="31"/>
  <c r="H4" i="31"/>
  <c r="I4" i="31"/>
  <c r="J4" i="31"/>
  <c r="K4" i="31"/>
  <c r="L4" i="31"/>
  <c r="M4" i="31"/>
  <c r="N4" i="31"/>
  <c r="O4" i="31"/>
  <c r="P4" i="31"/>
  <c r="Q4" i="31"/>
  <c r="T4" i="31"/>
  <c r="U4" i="31"/>
  <c r="V4" i="31"/>
  <c r="W4" i="31"/>
  <c r="X4" i="31"/>
  <c r="Y4" i="31"/>
  <c r="Z4" i="31"/>
  <c r="AA4" i="31"/>
  <c r="T7" i="31"/>
  <c r="V7" i="31"/>
  <c r="X7" i="31"/>
  <c r="Z7" i="31"/>
  <c r="T8" i="31"/>
  <c r="V8" i="31"/>
  <c r="X8" i="31"/>
  <c r="Z8" i="31"/>
  <c r="P14" i="31"/>
  <c r="Q14" i="31"/>
  <c r="P15" i="31"/>
  <c r="Q15" i="31"/>
  <c r="H16" i="31"/>
  <c r="I16" i="31"/>
  <c r="J16" i="31"/>
  <c r="K16" i="31"/>
  <c r="L16" i="31"/>
  <c r="M16" i="31"/>
  <c r="N16" i="31"/>
  <c r="O16" i="31"/>
  <c r="P16" i="31"/>
  <c r="P17" i="31"/>
  <c r="Q17" i="31"/>
  <c r="P18" i="31"/>
  <c r="Q18" i="31"/>
  <c r="P19" i="31"/>
  <c r="Q19" i="31"/>
  <c r="P20" i="31"/>
  <c r="Q20" i="31"/>
  <c r="P21" i="31"/>
  <c r="Q21" i="31"/>
  <c r="Q23" i="31" s="1"/>
  <c r="P22" i="31"/>
  <c r="J198" i="21" s="1"/>
  <c r="Q22" i="31"/>
  <c r="H23" i="31"/>
  <c r="I23" i="31"/>
  <c r="J23" i="31"/>
  <c r="K23" i="31"/>
  <c r="L23" i="31"/>
  <c r="M23" i="31"/>
  <c r="M45" i="31" s="1"/>
  <c r="N23" i="31"/>
  <c r="O23" i="31"/>
  <c r="P26" i="31"/>
  <c r="Q26" i="31"/>
  <c r="P27" i="31"/>
  <c r="Q27" i="31"/>
  <c r="P28" i="31"/>
  <c r="Q28" i="31"/>
  <c r="P29" i="31"/>
  <c r="Q29" i="31"/>
  <c r="H30" i="31"/>
  <c r="H45" i="31" s="1"/>
  <c r="I30" i="31"/>
  <c r="J30" i="31"/>
  <c r="K30" i="31"/>
  <c r="L30" i="31"/>
  <c r="L45" i="31" s="1"/>
  <c r="M30" i="31"/>
  <c r="N30" i="31"/>
  <c r="O30" i="31"/>
  <c r="P33" i="31"/>
  <c r="Q33" i="31"/>
  <c r="P34" i="31"/>
  <c r="Q34" i="31"/>
  <c r="P35" i="31"/>
  <c r="Q35" i="31"/>
  <c r="H36" i="31"/>
  <c r="I36" i="31"/>
  <c r="J36" i="31"/>
  <c r="K36" i="31"/>
  <c r="L36" i="31"/>
  <c r="M36" i="31"/>
  <c r="N36" i="31"/>
  <c r="O36" i="31"/>
  <c r="P36" i="31"/>
  <c r="Q36" i="31"/>
  <c r="P39" i="31"/>
  <c r="P43" i="31" s="1"/>
  <c r="Q39" i="31"/>
  <c r="Q43" i="31" s="1"/>
  <c r="P40" i="31"/>
  <c r="Q40" i="31"/>
  <c r="P41" i="31"/>
  <c r="Q41" i="31"/>
  <c r="P42" i="31"/>
  <c r="Q42" i="31"/>
  <c r="H43" i="31"/>
  <c r="I43" i="31"/>
  <c r="J43" i="31"/>
  <c r="K43" i="31"/>
  <c r="L43" i="31"/>
  <c r="M43" i="31"/>
  <c r="N43" i="31"/>
  <c r="O43" i="31"/>
  <c r="K45" i="31"/>
  <c r="N45" i="31"/>
  <c r="O45" i="31"/>
  <c r="T47" i="31"/>
  <c r="U47" i="31"/>
  <c r="V47" i="31"/>
  <c r="W47" i="31"/>
  <c r="X47" i="31"/>
  <c r="Y47" i="31"/>
  <c r="Z47" i="31"/>
  <c r="AA47" i="31"/>
  <c r="T48" i="31"/>
  <c r="U48" i="31"/>
  <c r="V48" i="31"/>
  <c r="W48" i="31"/>
  <c r="X48" i="31"/>
  <c r="Y48" i="31"/>
  <c r="Z48" i="31"/>
  <c r="AA48" i="31"/>
  <c r="AC50" i="31"/>
  <c r="H3" i="30"/>
  <c r="I3" i="30"/>
  <c r="J3" i="30"/>
  <c r="H8" i="30"/>
  <c r="H17" i="30" s="1"/>
  <c r="I8" i="30"/>
  <c r="I17" i="30" s="1"/>
  <c r="J8" i="30"/>
  <c r="J17" i="30" s="1"/>
  <c r="J19" i="30" s="1"/>
  <c r="H24" i="30"/>
  <c r="I24" i="30"/>
  <c r="J24" i="30"/>
  <c r="H27" i="30"/>
  <c r="I27" i="30"/>
  <c r="J27" i="30"/>
  <c r="H3" i="32"/>
  <c r="I3" i="32"/>
  <c r="J3" i="32"/>
  <c r="G9" i="27"/>
  <c r="G10" i="27"/>
  <c r="G11" i="27"/>
  <c r="G12" i="27"/>
  <c r="H19" i="27"/>
  <c r="U1" i="10" l="1"/>
  <c r="H15" i="27"/>
  <c r="V23" i="17"/>
  <c r="O25" i="17"/>
  <c r="U21" i="17"/>
  <c r="U18" i="17"/>
  <c r="V18" i="17" s="1"/>
  <c r="Z18" i="17" s="1"/>
  <c r="O31" i="17"/>
  <c r="O32" i="17"/>
  <c r="U32" i="17" s="1"/>
  <c r="V32" i="17" s="1"/>
  <c r="O33" i="17"/>
  <c r="O28" i="17"/>
  <c r="O29" i="17"/>
  <c r="O16" i="17"/>
  <c r="U11" i="17"/>
  <c r="Z60" i="17"/>
  <c r="Z55" i="17"/>
  <c r="V56" i="17"/>
  <c r="Z52" i="17"/>
  <c r="AB52" i="17" s="1"/>
  <c r="AC52" i="17" s="1"/>
  <c r="AA54" i="17"/>
  <c r="AB54" i="17" s="1"/>
  <c r="AC54" i="17" s="1"/>
  <c r="AA55" i="17"/>
  <c r="AB55" i="17" s="1"/>
  <c r="AC55" i="17" s="1"/>
  <c r="AA40" i="17"/>
  <c r="V39" i="17"/>
  <c r="Z39" i="17" s="1"/>
  <c r="V21" i="17"/>
  <c r="Z21" i="17" s="1"/>
  <c r="U19" i="17"/>
  <c r="Z23" i="17"/>
  <c r="AA18" i="17"/>
  <c r="K32" i="17"/>
  <c r="T32" i="17" s="1"/>
  <c r="P30" i="31"/>
  <c r="P23" i="31"/>
  <c r="L63" i="11"/>
  <c r="K74" i="21"/>
  <c r="Q65" i="10"/>
  <c r="P65" i="10"/>
  <c r="R65" i="10" s="1"/>
  <c r="S65" i="10" s="1"/>
  <c r="Q62" i="10"/>
  <c r="R62" i="10" s="1"/>
  <c r="S62" i="10" s="1"/>
  <c r="P61" i="10"/>
  <c r="L20" i="10"/>
  <c r="P20" i="10" s="1"/>
  <c r="P36" i="10"/>
  <c r="Q19" i="22"/>
  <c r="R19" i="22" s="1"/>
  <c r="S19" i="22" s="1"/>
  <c r="Q48" i="10"/>
  <c r="L51" i="10"/>
  <c r="K37" i="10"/>
  <c r="L37" i="10" s="1"/>
  <c r="Q19" i="10"/>
  <c r="R10" i="10"/>
  <c r="S10" i="10" s="1"/>
  <c r="L60" i="21"/>
  <c r="J50" i="21"/>
  <c r="L13" i="11"/>
  <c r="Q26" i="9"/>
  <c r="K10" i="9"/>
  <c r="L10" i="9" s="1"/>
  <c r="P10" i="9" s="1"/>
  <c r="Q16" i="31"/>
  <c r="L203" i="21"/>
  <c r="K29" i="17"/>
  <c r="T29" i="17" s="1"/>
  <c r="AA15" i="17"/>
  <c r="AB15" i="17" s="1"/>
  <c r="AC15" i="17" s="1"/>
  <c r="V11" i="17"/>
  <c r="Z11" i="17" s="1"/>
  <c r="K27" i="17"/>
  <c r="T27" i="17" s="1"/>
  <c r="K30" i="17"/>
  <c r="T30" i="17" s="1"/>
  <c r="K31" i="17"/>
  <c r="U31" i="17" s="1"/>
  <c r="V31" i="17" s="1"/>
  <c r="Z12" i="17"/>
  <c r="AB12" i="17" s="1"/>
  <c r="AC12" i="17" s="1"/>
  <c r="K33" i="17"/>
  <c r="J34" i="17"/>
  <c r="J46" i="17" s="1"/>
  <c r="I34" i="17"/>
  <c r="I46" i="17" s="1"/>
  <c r="N106" i="3"/>
  <c r="H19" i="9" s="1"/>
  <c r="L106" i="3"/>
  <c r="H17" i="9" s="1"/>
  <c r="K17" i="9" s="1"/>
  <c r="L17" i="9" s="1"/>
  <c r="J104" i="3"/>
  <c r="O104" i="3" s="1"/>
  <c r="H106" i="3"/>
  <c r="J86" i="3"/>
  <c r="J73" i="3"/>
  <c r="O73" i="3" s="1"/>
  <c r="J63" i="3"/>
  <c r="M106" i="3"/>
  <c r="H18" i="9" s="1"/>
  <c r="K18" i="9" s="1"/>
  <c r="L18" i="9" s="1"/>
  <c r="O68" i="3"/>
  <c r="O63" i="3"/>
  <c r="V61" i="2"/>
  <c r="AD61" i="2"/>
  <c r="X61" i="2"/>
  <c r="H28" i="14" s="1"/>
  <c r="U61" i="2"/>
  <c r="H24" i="14" s="1"/>
  <c r="T61" i="2"/>
  <c r="S61" i="2"/>
  <c r="J86" i="21" s="1"/>
  <c r="AC61" i="2"/>
  <c r="H95" i="21" s="1"/>
  <c r="AE56" i="2"/>
  <c r="AE59" i="2" s="1"/>
  <c r="H61" i="2"/>
  <c r="H11" i="14" s="1"/>
  <c r="N61" i="2"/>
  <c r="H17" i="14" s="1"/>
  <c r="Q51" i="2"/>
  <c r="J61" i="2"/>
  <c r="H13" i="14" s="1"/>
  <c r="P11" i="22"/>
  <c r="R11" i="22" s="1"/>
  <c r="S11" i="22" s="1"/>
  <c r="L19" i="9"/>
  <c r="K19" i="9"/>
  <c r="AE51" i="2"/>
  <c r="K16" i="9"/>
  <c r="O86" i="3"/>
  <c r="O99" i="3" s="1"/>
  <c r="H149" i="21"/>
  <c r="J149" i="21"/>
  <c r="I149" i="21" s="1"/>
  <c r="I116" i="21"/>
  <c r="J116" i="21"/>
  <c r="H116" i="21"/>
  <c r="U20" i="17"/>
  <c r="V20" i="17" s="1"/>
  <c r="I86" i="21"/>
  <c r="H22" i="14"/>
  <c r="I192" i="21"/>
  <c r="J192" i="21"/>
  <c r="H192" i="21"/>
  <c r="H188" i="21"/>
  <c r="I188" i="21"/>
  <c r="J188" i="21"/>
  <c r="J99" i="3"/>
  <c r="I106" i="3"/>
  <c r="H93" i="21"/>
  <c r="I93" i="21"/>
  <c r="J93" i="21"/>
  <c r="H31" i="14"/>
  <c r="J96" i="21"/>
  <c r="H96" i="21"/>
  <c r="I96" i="21"/>
  <c r="H35" i="14"/>
  <c r="H85" i="21"/>
  <c r="I85" i="21"/>
  <c r="J85" i="21"/>
  <c r="H21" i="14"/>
  <c r="J41" i="9"/>
  <c r="J54" i="9"/>
  <c r="J174" i="21"/>
  <c r="J123" i="21"/>
  <c r="H123" i="21"/>
  <c r="I123" i="21"/>
  <c r="O19" i="3"/>
  <c r="I92" i="21"/>
  <c r="J92" i="21"/>
  <c r="H92" i="21"/>
  <c r="H30" i="14"/>
  <c r="J95" i="21"/>
  <c r="H34" i="14"/>
  <c r="Q30" i="31"/>
  <c r="Q45" i="31" s="1"/>
  <c r="H12" i="14"/>
  <c r="H20" i="14" s="1"/>
  <c r="Q61" i="2"/>
  <c r="J57" i="21"/>
  <c r="I57" i="21" s="1"/>
  <c r="H57" i="21"/>
  <c r="J197" i="21"/>
  <c r="H197" i="21"/>
  <c r="I197" i="21"/>
  <c r="I19" i="30"/>
  <c r="I129" i="21"/>
  <c r="J129" i="21"/>
  <c r="H129" i="21"/>
  <c r="U14" i="17"/>
  <c r="V14" i="17" s="1"/>
  <c r="P39" i="10"/>
  <c r="H19" i="30"/>
  <c r="H136" i="21"/>
  <c r="I136" i="21"/>
  <c r="J136" i="21"/>
  <c r="O32" i="3"/>
  <c r="K28" i="17"/>
  <c r="AB40" i="17"/>
  <c r="AC40" i="17" s="1"/>
  <c r="I169" i="21"/>
  <c r="J171" i="21"/>
  <c r="H171" i="21"/>
  <c r="H169" i="21"/>
  <c r="I171" i="21"/>
  <c r="I170" i="21"/>
  <c r="J170" i="21"/>
  <c r="J169" i="21"/>
  <c r="H170" i="21"/>
  <c r="O20" i="7"/>
  <c r="H143" i="21"/>
  <c r="I143" i="21"/>
  <c r="J143" i="21"/>
  <c r="O39" i="3"/>
  <c r="J59" i="14"/>
  <c r="J67" i="14" s="1"/>
  <c r="W61" i="2"/>
  <c r="K194" i="21"/>
  <c r="L194" i="21"/>
  <c r="Z42" i="17"/>
  <c r="H88" i="21"/>
  <c r="I88" i="21"/>
  <c r="J88" i="21"/>
  <c r="H25" i="14"/>
  <c r="J109" i="21"/>
  <c r="H109" i="21"/>
  <c r="I109" i="21"/>
  <c r="Z53" i="17"/>
  <c r="AA53" i="17"/>
  <c r="AA61" i="17"/>
  <c r="AB61" i="17" s="1"/>
  <c r="AC61" i="17" s="1"/>
  <c r="H198" i="21"/>
  <c r="I198" i="21"/>
  <c r="J176" i="21"/>
  <c r="J142" i="21"/>
  <c r="O38" i="3"/>
  <c r="H142" i="21"/>
  <c r="I142" i="21"/>
  <c r="J110" i="21"/>
  <c r="I110" i="21" s="1"/>
  <c r="H110" i="21"/>
  <c r="O6" i="3"/>
  <c r="J51" i="3"/>
  <c r="K44" i="17"/>
  <c r="T38" i="17"/>
  <c r="U38" i="17"/>
  <c r="J45" i="31"/>
  <c r="J175" i="21"/>
  <c r="I175" i="21" s="1"/>
  <c r="I59" i="14"/>
  <c r="I67" i="14" s="1"/>
  <c r="Z64" i="17"/>
  <c r="AA64" i="17"/>
  <c r="Z51" i="17"/>
  <c r="AA51" i="17"/>
  <c r="S44" i="17"/>
  <c r="S46" i="17" s="1"/>
  <c r="S58" i="17" s="1"/>
  <c r="S67" i="17" s="1"/>
  <c r="N34" i="17"/>
  <c r="N46" i="17" s="1"/>
  <c r="U10" i="17"/>
  <c r="I45" i="31"/>
  <c r="H178" i="21" s="1"/>
  <c r="O45" i="3"/>
  <c r="O12" i="3"/>
  <c r="H25" i="21"/>
  <c r="J25" i="21"/>
  <c r="I25" i="21" s="1"/>
  <c r="K7" i="9"/>
  <c r="L7" i="9" s="1"/>
  <c r="H27" i="21"/>
  <c r="I27" i="21"/>
  <c r="J27" i="21"/>
  <c r="K9" i="9"/>
  <c r="L9" i="9" s="1"/>
  <c r="M34" i="17"/>
  <c r="M46" i="17" s="1"/>
  <c r="O27" i="17"/>
  <c r="H189" i="21"/>
  <c r="J145" i="21"/>
  <c r="I145" i="21" s="1"/>
  <c r="H145" i="21"/>
  <c r="H119" i="21"/>
  <c r="I119" i="21"/>
  <c r="J119" i="21"/>
  <c r="J105" i="21"/>
  <c r="U9" i="17"/>
  <c r="V9" i="17" s="1"/>
  <c r="H161" i="21"/>
  <c r="I161" i="21"/>
  <c r="J161" i="21"/>
  <c r="H151" i="21"/>
  <c r="I151" i="21"/>
  <c r="J151" i="21"/>
  <c r="H138" i="21"/>
  <c r="J138" i="21"/>
  <c r="I138" i="21" s="1"/>
  <c r="H125" i="21"/>
  <c r="J125" i="21"/>
  <c r="I125" i="21" s="1"/>
  <c r="J118" i="21"/>
  <c r="O14" i="3"/>
  <c r="H118" i="21"/>
  <c r="I118" i="21"/>
  <c r="H29" i="21"/>
  <c r="J29" i="21"/>
  <c r="I29" i="21" s="1"/>
  <c r="K11" i="9"/>
  <c r="L11" i="9" s="1"/>
  <c r="O44" i="17"/>
  <c r="H79" i="21"/>
  <c r="I79" i="21"/>
  <c r="J79" i="21"/>
  <c r="K20" i="11"/>
  <c r="L20" i="11" s="1"/>
  <c r="K20" i="22"/>
  <c r="L20" i="22" s="1"/>
  <c r="P55" i="10"/>
  <c r="R55" i="10" s="1"/>
  <c r="S55" i="10" s="1"/>
  <c r="R29" i="10"/>
  <c r="S29" i="10" s="1"/>
  <c r="R26" i="9"/>
  <c r="S26" i="9" s="1"/>
  <c r="L181" i="21"/>
  <c r="K181" i="21"/>
  <c r="J132" i="21"/>
  <c r="I132" i="21" s="1"/>
  <c r="H132" i="21"/>
  <c r="H112" i="21"/>
  <c r="J112" i="21"/>
  <c r="I112" i="21" s="1"/>
  <c r="O8" i="3"/>
  <c r="H67" i="21"/>
  <c r="I67" i="21"/>
  <c r="J67" i="21"/>
  <c r="H160" i="21"/>
  <c r="I160" i="21"/>
  <c r="J160" i="21"/>
  <c r="O71" i="3"/>
  <c r="H144" i="21"/>
  <c r="J144" i="21"/>
  <c r="I144" i="21" s="1"/>
  <c r="J131" i="21"/>
  <c r="H131" i="21"/>
  <c r="I131" i="21"/>
  <c r="H124" i="21"/>
  <c r="J124" i="21"/>
  <c r="I124" i="21" s="1"/>
  <c r="O20" i="3"/>
  <c r="H111" i="21"/>
  <c r="J111" i="21"/>
  <c r="I111" i="21" s="1"/>
  <c r="U43" i="17"/>
  <c r="V37" i="17"/>
  <c r="U13" i="17"/>
  <c r="V13" i="17" s="1"/>
  <c r="K66" i="10"/>
  <c r="L66" i="10" s="1"/>
  <c r="H70" i="10"/>
  <c r="Q47" i="10"/>
  <c r="R47" i="10" s="1"/>
  <c r="S47" i="10" s="1"/>
  <c r="Q36" i="10"/>
  <c r="P24" i="10"/>
  <c r="R24" i="10" s="1"/>
  <c r="S24" i="10" s="1"/>
  <c r="Q24" i="10"/>
  <c r="H187" i="21"/>
  <c r="I187" i="21"/>
  <c r="J187" i="21"/>
  <c r="J199" i="21"/>
  <c r="H199" i="21"/>
  <c r="I199" i="21"/>
  <c r="H172" i="21"/>
  <c r="I172" i="21"/>
  <c r="J166" i="21"/>
  <c r="J159" i="21"/>
  <c r="H166" i="21"/>
  <c r="I166" i="21"/>
  <c r="H159" i="21"/>
  <c r="I159" i="21"/>
  <c r="H150" i="21"/>
  <c r="J150" i="21"/>
  <c r="I150" i="21" s="1"/>
  <c r="H137" i="21"/>
  <c r="I137" i="21"/>
  <c r="J137" i="21"/>
  <c r="H130" i="21"/>
  <c r="J130" i="21"/>
  <c r="I130" i="21" s="1"/>
  <c r="O26" i="3"/>
  <c r="H117" i="21"/>
  <c r="I117" i="21"/>
  <c r="J117" i="21"/>
  <c r="H34" i="17"/>
  <c r="H46" i="17" s="1"/>
  <c r="J94" i="21"/>
  <c r="H94" i="21"/>
  <c r="I94" i="21"/>
  <c r="H87" i="21"/>
  <c r="I87" i="21"/>
  <c r="J87" i="21"/>
  <c r="Q10" i="22"/>
  <c r="R10" i="22" s="1"/>
  <c r="S10" i="22" s="1"/>
  <c r="Q39" i="10"/>
  <c r="R15" i="10"/>
  <c r="S15" i="10" s="1"/>
  <c r="K48" i="9"/>
  <c r="L48" i="9"/>
  <c r="I189" i="21"/>
  <c r="J158" i="21"/>
  <c r="I158" i="21" s="1"/>
  <c r="H158" i="21"/>
  <c r="H148" i="21"/>
  <c r="J148" i="21"/>
  <c r="I148" i="21" s="1"/>
  <c r="O44" i="3"/>
  <c r="H135" i="21"/>
  <c r="J135" i="21"/>
  <c r="I135" i="21" s="1"/>
  <c r="H122" i="21"/>
  <c r="J122" i="21"/>
  <c r="I122" i="21" s="1"/>
  <c r="I108" i="21"/>
  <c r="J108" i="21"/>
  <c r="H108" i="21"/>
  <c r="Z49" i="17"/>
  <c r="AB49" i="17" s="1"/>
  <c r="AC49" i="17" s="1"/>
  <c r="V43" i="17"/>
  <c r="AA21" i="17"/>
  <c r="H91" i="21"/>
  <c r="I91" i="21"/>
  <c r="J91" i="21"/>
  <c r="H66" i="21"/>
  <c r="I66" i="21"/>
  <c r="J66" i="21"/>
  <c r="L7" i="22"/>
  <c r="P7" i="22" s="1"/>
  <c r="H70" i="21"/>
  <c r="I49" i="21"/>
  <c r="J49" i="21"/>
  <c r="H49" i="21"/>
  <c r="K56" i="10"/>
  <c r="L56" i="10"/>
  <c r="P46" i="10"/>
  <c r="Q46" i="10"/>
  <c r="H157" i="21"/>
  <c r="I157" i="21"/>
  <c r="J157" i="21"/>
  <c r="H154" i="21"/>
  <c r="I154" i="21"/>
  <c r="J154" i="21"/>
  <c r="H141" i="21"/>
  <c r="J141" i="21"/>
  <c r="I141" i="21" s="1"/>
  <c r="H128" i="21"/>
  <c r="J128" i="21"/>
  <c r="I128" i="21" s="1"/>
  <c r="H115" i="21"/>
  <c r="I115" i="21"/>
  <c r="J115" i="21"/>
  <c r="J107" i="21"/>
  <c r="H107" i="21"/>
  <c r="I107" i="21"/>
  <c r="U24" i="17"/>
  <c r="V24" i="17" s="1"/>
  <c r="Q31" i="10"/>
  <c r="R31" i="10" s="1"/>
  <c r="S31" i="10" s="1"/>
  <c r="R19" i="10"/>
  <c r="S19" i="10" s="1"/>
  <c r="Q12" i="10"/>
  <c r="R12" i="10" s="1"/>
  <c r="S12" i="10" s="1"/>
  <c r="K9" i="10"/>
  <c r="L9" i="10" s="1"/>
  <c r="I164" i="21"/>
  <c r="J164" i="21"/>
  <c r="H164" i="21"/>
  <c r="J147" i="21"/>
  <c r="I147" i="21" s="1"/>
  <c r="H147" i="21"/>
  <c r="J134" i="21"/>
  <c r="H134" i="21"/>
  <c r="I134" i="21"/>
  <c r="J121" i="21"/>
  <c r="I121" i="21" s="1"/>
  <c r="H121" i="21"/>
  <c r="V41" i="17"/>
  <c r="P34" i="17"/>
  <c r="P46" i="17" s="1"/>
  <c r="K25" i="17"/>
  <c r="R48" i="10"/>
  <c r="S48" i="10" s="1"/>
  <c r="Q25" i="10"/>
  <c r="R25" i="10" s="1"/>
  <c r="S25" i="10" s="1"/>
  <c r="P24" i="9"/>
  <c r="Q24" i="9"/>
  <c r="I163" i="21"/>
  <c r="H163" i="21"/>
  <c r="J163" i="21"/>
  <c r="J153" i="21"/>
  <c r="I153" i="21" s="1"/>
  <c r="H153" i="21"/>
  <c r="J140" i="21"/>
  <c r="I140" i="21" s="1"/>
  <c r="H140" i="21"/>
  <c r="H127" i="21"/>
  <c r="J127" i="21"/>
  <c r="I127" i="21" s="1"/>
  <c r="H114" i="21"/>
  <c r="I114" i="21"/>
  <c r="J114" i="21"/>
  <c r="AA60" i="17"/>
  <c r="AB60" i="17" s="1"/>
  <c r="AC60" i="17" s="1"/>
  <c r="H102" i="21"/>
  <c r="J102" i="21"/>
  <c r="I102" i="21" s="1"/>
  <c r="AA50" i="17"/>
  <c r="U41" i="17"/>
  <c r="O30" i="17"/>
  <c r="J99" i="21"/>
  <c r="H100" i="21"/>
  <c r="H99" i="21"/>
  <c r="I99" i="21"/>
  <c r="H98" i="21"/>
  <c r="J98" i="21"/>
  <c r="I98" i="21" s="1"/>
  <c r="I100" i="21"/>
  <c r="J100" i="21"/>
  <c r="V22" i="17"/>
  <c r="Z22" i="17" s="1"/>
  <c r="Q16" i="22"/>
  <c r="R16" i="22" s="1"/>
  <c r="S16" i="22" s="1"/>
  <c r="H146" i="21"/>
  <c r="J146" i="21"/>
  <c r="I146" i="21" s="1"/>
  <c r="J133" i="21"/>
  <c r="H133" i="21"/>
  <c r="I133" i="21"/>
  <c r="H120" i="21"/>
  <c r="J120" i="21"/>
  <c r="I120" i="21" s="1"/>
  <c r="Z50" i="17"/>
  <c r="U37" i="17"/>
  <c r="AA23" i="17"/>
  <c r="V19" i="17"/>
  <c r="Z19" i="17" s="1"/>
  <c r="K16" i="17"/>
  <c r="Q18" i="22"/>
  <c r="R18" i="22" s="1"/>
  <c r="S18" i="22" s="1"/>
  <c r="Q64" i="10"/>
  <c r="R64" i="10" s="1"/>
  <c r="S64" i="10" s="1"/>
  <c r="P30" i="10"/>
  <c r="R30" i="10" s="1"/>
  <c r="S30" i="10" s="1"/>
  <c r="Q30" i="10"/>
  <c r="J62" i="21"/>
  <c r="H64" i="21"/>
  <c r="I64" i="21"/>
  <c r="J64" i="21"/>
  <c r="L21" i="10"/>
  <c r="Q21" i="10" s="1"/>
  <c r="P11" i="10"/>
  <c r="Q11" i="10"/>
  <c r="I54" i="9"/>
  <c r="I41" i="9"/>
  <c r="H162" i="21"/>
  <c r="I162" i="21"/>
  <c r="J162" i="21"/>
  <c r="H152" i="21"/>
  <c r="J152" i="21"/>
  <c r="I152" i="21"/>
  <c r="O41" i="3"/>
  <c r="H139" i="21"/>
  <c r="I139" i="21"/>
  <c r="J139" i="21"/>
  <c r="O28" i="3"/>
  <c r="H126" i="21"/>
  <c r="I126" i="21"/>
  <c r="J126" i="21"/>
  <c r="O15" i="3"/>
  <c r="H113" i="21"/>
  <c r="J113" i="21"/>
  <c r="I113" i="21" s="1"/>
  <c r="H23" i="14"/>
  <c r="I97" i="21"/>
  <c r="J97" i="21"/>
  <c r="H97" i="21"/>
  <c r="AA63" i="17"/>
  <c r="AB63" i="17" s="1"/>
  <c r="AC63" i="17" s="1"/>
  <c r="V42" i="17"/>
  <c r="AA42" i="17" s="1"/>
  <c r="T37" i="17"/>
  <c r="L34" i="17"/>
  <c r="L46" i="17" s="1"/>
  <c r="H90" i="21"/>
  <c r="I90" i="21"/>
  <c r="J90" i="21"/>
  <c r="L21" i="11"/>
  <c r="P68" i="10"/>
  <c r="R68" i="10" s="1"/>
  <c r="S68" i="10" s="1"/>
  <c r="Q61" i="10"/>
  <c r="R61" i="10" s="1"/>
  <c r="S61" i="10" s="1"/>
  <c r="H50" i="9"/>
  <c r="L184" i="21"/>
  <c r="K184" i="21"/>
  <c r="K59" i="21"/>
  <c r="L59" i="21"/>
  <c r="P50" i="10"/>
  <c r="R50" i="10" s="1"/>
  <c r="S50" i="10" s="1"/>
  <c r="Q34" i="10"/>
  <c r="R34" i="10" s="1"/>
  <c r="S34" i="10" s="1"/>
  <c r="P28" i="9"/>
  <c r="R28" i="9" s="1"/>
  <c r="S28" i="9" s="1"/>
  <c r="L204" i="21"/>
  <c r="L202" i="21"/>
  <c r="L200" i="21"/>
  <c r="K155" i="21"/>
  <c r="L155" i="21"/>
  <c r="K46" i="21"/>
  <c r="L46" i="21"/>
  <c r="H69" i="21"/>
  <c r="I69" i="21"/>
  <c r="J69" i="21"/>
  <c r="J68" i="21"/>
  <c r="I68" i="21" s="1"/>
  <c r="P54" i="10"/>
  <c r="R54" i="10" s="1"/>
  <c r="S54" i="10" s="1"/>
  <c r="P32" i="9"/>
  <c r="R32" i="9" s="1"/>
  <c r="S32" i="9" s="1"/>
  <c r="H31" i="21"/>
  <c r="I31" i="21"/>
  <c r="J31" i="21"/>
  <c r="K186" i="21"/>
  <c r="L186" i="21"/>
  <c r="K81" i="21"/>
  <c r="L81" i="21"/>
  <c r="I39" i="21"/>
  <c r="U5" i="9"/>
  <c r="Q17" i="22"/>
  <c r="R17" i="22" s="1"/>
  <c r="S17" i="22" s="1"/>
  <c r="Q9" i="22"/>
  <c r="R9" i="22" s="1"/>
  <c r="S9" i="22" s="1"/>
  <c r="J51" i="21"/>
  <c r="H51" i="21"/>
  <c r="I51" i="21"/>
  <c r="K177" i="21"/>
  <c r="L177" i="21"/>
  <c r="K168" i="21"/>
  <c r="L168" i="21"/>
  <c r="L63" i="21"/>
  <c r="Q6" i="10"/>
  <c r="R6" i="10" s="1"/>
  <c r="S6" i="10" s="1"/>
  <c r="K72" i="21"/>
  <c r="L72" i="21"/>
  <c r="H68" i="21"/>
  <c r="Q11" i="22"/>
  <c r="P14" i="10"/>
  <c r="R14" i="10" s="1"/>
  <c r="S14" i="10" s="1"/>
  <c r="H33" i="21"/>
  <c r="I33" i="21"/>
  <c r="J33" i="21"/>
  <c r="L176" i="21"/>
  <c r="Q15" i="22"/>
  <c r="R15" i="22" s="1"/>
  <c r="S15" i="22" s="1"/>
  <c r="H55" i="21"/>
  <c r="I55" i="21"/>
  <c r="J55" i="21"/>
  <c r="L12" i="22"/>
  <c r="H54" i="21"/>
  <c r="I54" i="21"/>
  <c r="H53" i="21"/>
  <c r="I53" i="21"/>
  <c r="J53" i="21"/>
  <c r="K50" i="21"/>
  <c r="K44" i="21"/>
  <c r="L44" i="21"/>
  <c r="L175" i="21"/>
  <c r="K42" i="21"/>
  <c r="K28" i="21"/>
  <c r="J28" i="21"/>
  <c r="L43" i="21"/>
  <c r="I28" i="21"/>
  <c r="L40" i="21"/>
  <c r="L173" i="21"/>
  <c r="L77" i="21"/>
  <c r="U5" i="10" l="1"/>
  <c r="I63" i="21" s="1"/>
  <c r="R36" i="10"/>
  <c r="S36" i="10" s="1"/>
  <c r="AB23" i="17"/>
  <c r="AC23" i="17" s="1"/>
  <c r="AB21" i="17"/>
  <c r="AC21" i="17" s="1"/>
  <c r="O34" i="17"/>
  <c r="O46" i="17" s="1"/>
  <c r="O58" i="17" s="1"/>
  <c r="O67" i="17" s="1"/>
  <c r="H104" i="21" s="1"/>
  <c r="AB51" i="17"/>
  <c r="AC51" i="17" s="1"/>
  <c r="AA39" i="17"/>
  <c r="AB39" i="17" s="1"/>
  <c r="AC39" i="17" s="1"/>
  <c r="T31" i="17"/>
  <c r="AB18" i="17"/>
  <c r="AC18" i="17" s="1"/>
  <c r="U29" i="17"/>
  <c r="V29" i="17" s="1"/>
  <c r="P45" i="31"/>
  <c r="Q20" i="10"/>
  <c r="R20" i="10" s="1"/>
  <c r="S20" i="10" s="1"/>
  <c r="J38" i="21"/>
  <c r="H182" i="21"/>
  <c r="K182" i="21" s="1"/>
  <c r="J178" i="21"/>
  <c r="I182" i="21"/>
  <c r="AA11" i="17"/>
  <c r="AB11" i="17" s="1"/>
  <c r="AC11" i="17" s="1"/>
  <c r="T33" i="17"/>
  <c r="T8" i="17" s="1"/>
  <c r="U33" i="17"/>
  <c r="V33" i="17" s="1"/>
  <c r="I95" i="21"/>
  <c r="H32" i="14"/>
  <c r="H86" i="21"/>
  <c r="K86" i="21" s="1"/>
  <c r="AE61" i="2"/>
  <c r="J83" i="21" s="1"/>
  <c r="K178" i="21"/>
  <c r="L178" i="21"/>
  <c r="R7" i="22"/>
  <c r="S7" i="22" s="1"/>
  <c r="K157" i="21"/>
  <c r="L157" i="21"/>
  <c r="K130" i="21"/>
  <c r="L130" i="21"/>
  <c r="K160" i="21"/>
  <c r="L160" i="21"/>
  <c r="K129" i="21"/>
  <c r="L129" i="21"/>
  <c r="K70" i="21"/>
  <c r="L70" i="21"/>
  <c r="S1" i="22"/>
  <c r="K88" i="21"/>
  <c r="L88" i="21"/>
  <c r="U30" i="17"/>
  <c r="V30" i="17" s="1"/>
  <c r="L170" i="21"/>
  <c r="K170" i="21"/>
  <c r="P21" i="10"/>
  <c r="R21" i="10" s="1"/>
  <c r="S21" i="10" s="1"/>
  <c r="K192" i="21"/>
  <c r="L192" i="21"/>
  <c r="K97" i="21"/>
  <c r="L97" i="21"/>
  <c r="K133" i="21"/>
  <c r="L133" i="21"/>
  <c r="K102" i="21"/>
  <c r="L102" i="21"/>
  <c r="K117" i="21"/>
  <c r="L117" i="21"/>
  <c r="K144" i="21"/>
  <c r="L144" i="21"/>
  <c r="K132" i="21"/>
  <c r="L132" i="21"/>
  <c r="K161" i="21"/>
  <c r="L161" i="21"/>
  <c r="K69" i="21"/>
  <c r="L69" i="21"/>
  <c r="L162" i="21"/>
  <c r="K162" i="21"/>
  <c r="K121" i="21"/>
  <c r="L121" i="21"/>
  <c r="Q10" i="9"/>
  <c r="R10" i="9" s="1"/>
  <c r="S10" i="9" s="1"/>
  <c r="K154" i="21"/>
  <c r="L154" i="21"/>
  <c r="Q7" i="22"/>
  <c r="L189" i="21"/>
  <c r="K189" i="21"/>
  <c r="K27" i="21"/>
  <c r="L27" i="21"/>
  <c r="H101" i="21"/>
  <c r="I101" i="21"/>
  <c r="J101" i="21"/>
  <c r="U44" i="17"/>
  <c r="V44" i="17" s="1"/>
  <c r="L198" i="21"/>
  <c r="K198" i="21"/>
  <c r="K93" i="21"/>
  <c r="L93" i="21"/>
  <c r="K50" i="9"/>
  <c r="L50" i="9"/>
  <c r="K158" i="21"/>
  <c r="L158" i="21"/>
  <c r="L98" i="21"/>
  <c r="K98" i="21"/>
  <c r="K107" i="21"/>
  <c r="L107" i="21"/>
  <c r="K159" i="21"/>
  <c r="L159" i="21"/>
  <c r="K126" i="21"/>
  <c r="L126" i="21"/>
  <c r="K99" i="21"/>
  <c r="L99" i="21"/>
  <c r="K108" i="21"/>
  <c r="L108" i="21"/>
  <c r="K148" i="21"/>
  <c r="L148" i="21"/>
  <c r="K166" i="21"/>
  <c r="L166" i="21"/>
  <c r="K111" i="21"/>
  <c r="L111" i="21"/>
  <c r="K79" i="21"/>
  <c r="L79" i="21"/>
  <c r="J106" i="3"/>
  <c r="O51" i="3"/>
  <c r="R39" i="10"/>
  <c r="S39" i="10" s="1"/>
  <c r="H36" i="14"/>
  <c r="K149" i="21"/>
  <c r="L149" i="21"/>
  <c r="L187" i="21"/>
  <c r="K187" i="21"/>
  <c r="U16" i="17"/>
  <c r="V16" i="17" s="1"/>
  <c r="L100" i="21"/>
  <c r="K100" i="21"/>
  <c r="K163" i="21"/>
  <c r="L163" i="21"/>
  <c r="K125" i="21"/>
  <c r="L125" i="21"/>
  <c r="P7" i="9"/>
  <c r="Q7" i="9"/>
  <c r="AA14" i="17"/>
  <c r="Z14" i="17"/>
  <c r="K33" i="21"/>
  <c r="L33" i="21"/>
  <c r="L146" i="21"/>
  <c r="K146" i="21"/>
  <c r="K115" i="21"/>
  <c r="L115" i="21"/>
  <c r="K87" i="21"/>
  <c r="L87" i="21"/>
  <c r="Q11" i="9"/>
  <c r="P11" i="9"/>
  <c r="R11" i="9" s="1"/>
  <c r="S11" i="9" s="1"/>
  <c r="K110" i="21"/>
  <c r="L110" i="21"/>
  <c r="K95" i="21"/>
  <c r="L95" i="21"/>
  <c r="K85" i="21"/>
  <c r="L85" i="21"/>
  <c r="K31" i="21"/>
  <c r="L31" i="21"/>
  <c r="R24" i="9"/>
  <c r="S24" i="9" s="1"/>
  <c r="AB64" i="17"/>
  <c r="AC64" i="17" s="1"/>
  <c r="K171" i="21"/>
  <c r="L171" i="21"/>
  <c r="K54" i="21"/>
  <c r="L54" i="21"/>
  <c r="K68" i="21"/>
  <c r="L68" i="21"/>
  <c r="AB50" i="17"/>
  <c r="AC50" i="17" s="1"/>
  <c r="Z41" i="17"/>
  <c r="AA41" i="17"/>
  <c r="K127" i="21"/>
  <c r="L127" i="21"/>
  <c r="H65" i="21"/>
  <c r="I65" i="21"/>
  <c r="J65" i="21"/>
  <c r="K22" i="10"/>
  <c r="H26" i="10"/>
  <c r="L22" i="10"/>
  <c r="G17" i="27"/>
  <c r="G18" i="27"/>
  <c r="L128" i="21"/>
  <c r="K128" i="21"/>
  <c r="L122" i="21"/>
  <c r="K122" i="21"/>
  <c r="K94" i="21"/>
  <c r="L94" i="21"/>
  <c r="K137" i="21"/>
  <c r="L137" i="21"/>
  <c r="K67" i="21"/>
  <c r="L67" i="21"/>
  <c r="K25" i="21"/>
  <c r="L25" i="21"/>
  <c r="K109" i="21"/>
  <c r="L109" i="21"/>
  <c r="K92" i="21"/>
  <c r="L92" i="21"/>
  <c r="I178" i="21"/>
  <c r="AB42" i="17"/>
  <c r="AC42" i="17" s="1"/>
  <c r="K53" i="21"/>
  <c r="L53" i="21"/>
  <c r="R11" i="10"/>
  <c r="S11" i="10" s="1"/>
  <c r="L138" i="21"/>
  <c r="K138" i="21"/>
  <c r="K140" i="21"/>
  <c r="L140" i="21"/>
  <c r="K147" i="21"/>
  <c r="L147" i="21"/>
  <c r="K199" i="21"/>
  <c r="L199" i="21"/>
  <c r="Z13" i="17"/>
  <c r="AA13" i="17"/>
  <c r="K131" i="21"/>
  <c r="L131" i="21"/>
  <c r="K29" i="21"/>
  <c r="L29" i="21"/>
  <c r="K142" i="21"/>
  <c r="L142" i="21"/>
  <c r="K143" i="21"/>
  <c r="L143" i="21"/>
  <c r="I84" i="21"/>
  <c r="J84" i="21"/>
  <c r="H84" i="21"/>
  <c r="K96" i="21"/>
  <c r="L96" i="21"/>
  <c r="AA20" i="17"/>
  <c r="Z20" i="17"/>
  <c r="L114" i="21"/>
  <c r="K114" i="21"/>
  <c r="H48" i="21"/>
  <c r="I48" i="21"/>
  <c r="J48" i="21"/>
  <c r="K70" i="10"/>
  <c r="L70" i="10" s="1"/>
  <c r="Z9" i="17"/>
  <c r="AA9" i="17"/>
  <c r="L66" i="21"/>
  <c r="K66" i="21"/>
  <c r="K124" i="21"/>
  <c r="L124" i="21"/>
  <c r="U25" i="17"/>
  <c r="V25" i="17" s="1"/>
  <c r="Z24" i="17"/>
  <c r="AA24" i="17"/>
  <c r="K49" i="21"/>
  <c r="L49" i="21"/>
  <c r="K91" i="21"/>
  <c r="L91" i="21"/>
  <c r="K150" i="21"/>
  <c r="L150" i="21"/>
  <c r="K151" i="21"/>
  <c r="L151" i="21"/>
  <c r="K119" i="21"/>
  <c r="L119" i="21"/>
  <c r="P9" i="9"/>
  <c r="Q9" i="9"/>
  <c r="H179" i="21"/>
  <c r="I179" i="21"/>
  <c r="J179" i="21"/>
  <c r="H183" i="21"/>
  <c r="I183" i="21"/>
  <c r="J183" i="21"/>
  <c r="H89" i="21"/>
  <c r="I89" i="21"/>
  <c r="J89" i="21"/>
  <c r="H26" i="14"/>
  <c r="H27" i="14" s="1"/>
  <c r="K136" i="21"/>
  <c r="L136" i="21"/>
  <c r="K197" i="21"/>
  <c r="L197" i="21"/>
  <c r="K116" i="21"/>
  <c r="L116" i="21"/>
  <c r="P19" i="9"/>
  <c r="Q19" i="9"/>
  <c r="K123" i="21"/>
  <c r="L123" i="21"/>
  <c r="K134" i="21"/>
  <c r="L134" i="21"/>
  <c r="AB53" i="17"/>
  <c r="AC53" i="17" s="1"/>
  <c r="U28" i="17"/>
  <c r="T28" i="17"/>
  <c r="K34" i="17"/>
  <c r="V28" i="17"/>
  <c r="K51" i="21"/>
  <c r="L51" i="21"/>
  <c r="K172" i="21"/>
  <c r="L172" i="21"/>
  <c r="H62" i="21"/>
  <c r="K152" i="21"/>
  <c r="L152" i="21"/>
  <c r="K135" i="21"/>
  <c r="L135" i="21"/>
  <c r="K169" i="21"/>
  <c r="L169" i="21"/>
  <c r="L16" i="9"/>
  <c r="H38" i="21" s="1"/>
  <c r="K139" i="21"/>
  <c r="L139" i="21"/>
  <c r="Z37" i="17"/>
  <c r="AA37" i="17"/>
  <c r="R46" i="10"/>
  <c r="S46" i="10" s="1"/>
  <c r="K64" i="21"/>
  <c r="L64" i="21"/>
  <c r="L90" i="21"/>
  <c r="K90" i="21"/>
  <c r="K113" i="21"/>
  <c r="L113" i="21"/>
  <c r="K120" i="21"/>
  <c r="L120" i="21"/>
  <c r="U27" i="17"/>
  <c r="V27" i="17" s="1"/>
  <c r="K164" i="21"/>
  <c r="L164" i="21"/>
  <c r="K141" i="21"/>
  <c r="L141" i="21"/>
  <c r="K118" i="21"/>
  <c r="L118" i="21"/>
  <c r="K145" i="21"/>
  <c r="L145" i="21"/>
  <c r="I191" i="21"/>
  <c r="J182" i="21"/>
  <c r="H191" i="21"/>
  <c r="H190" i="21"/>
  <c r="I190" i="21"/>
  <c r="J190" i="21"/>
  <c r="J191" i="21"/>
  <c r="P18" i="9"/>
  <c r="Q18" i="9"/>
  <c r="AA22" i="17"/>
  <c r="AB22" i="17" s="1"/>
  <c r="AC22" i="17" s="1"/>
  <c r="AA19" i="17"/>
  <c r="AB19" i="17" s="1"/>
  <c r="AC19" i="17" s="1"/>
  <c r="K55" i="21"/>
  <c r="L55" i="21"/>
  <c r="K153" i="21"/>
  <c r="L153" i="21"/>
  <c r="J103" i="21"/>
  <c r="Z43" i="17"/>
  <c r="AA43" i="17"/>
  <c r="K112" i="21"/>
  <c r="L112" i="21"/>
  <c r="V10" i="17"/>
  <c r="V38" i="17"/>
  <c r="AA38" i="17" s="1"/>
  <c r="J165" i="21"/>
  <c r="H165" i="21"/>
  <c r="I165" i="21"/>
  <c r="K57" i="21"/>
  <c r="L57" i="21"/>
  <c r="L188" i="21"/>
  <c r="K188" i="21"/>
  <c r="L86" i="21" l="1"/>
  <c r="AB20" i="17"/>
  <c r="AC20" i="17" s="1"/>
  <c r="J104" i="21"/>
  <c r="I104" i="21"/>
  <c r="H105" i="21"/>
  <c r="K105" i="21" s="1"/>
  <c r="AB41" i="17"/>
  <c r="AC41" i="17" s="1"/>
  <c r="AB43" i="17"/>
  <c r="AC43" i="17" s="1"/>
  <c r="AB24" i="17"/>
  <c r="AC24" i="17" s="1"/>
  <c r="H83" i="21"/>
  <c r="K83" i="21" s="1"/>
  <c r="I83" i="21"/>
  <c r="L182" i="21"/>
  <c r="AB14" i="17"/>
  <c r="AC14" i="17" s="1"/>
  <c r="R19" i="9"/>
  <c r="S19" i="9" s="1"/>
  <c r="R18" i="9"/>
  <c r="S18" i="9" s="1"/>
  <c r="R7" i="9"/>
  <c r="S7" i="9" s="1"/>
  <c r="R9" i="9"/>
  <c r="S9" i="9" s="1"/>
  <c r="H37" i="14"/>
  <c r="H8" i="9" s="1"/>
  <c r="H26" i="21" s="1"/>
  <c r="K38" i="21"/>
  <c r="L38" i="21"/>
  <c r="S1" i="9"/>
  <c r="AB37" i="17"/>
  <c r="AC37" i="17" s="1"/>
  <c r="H15" i="9"/>
  <c r="H196" i="21"/>
  <c r="O106" i="3"/>
  <c r="J196" i="21"/>
  <c r="I196" i="21" s="1"/>
  <c r="K48" i="21"/>
  <c r="L48" i="21"/>
  <c r="K190" i="21"/>
  <c r="L190" i="21"/>
  <c r="L191" i="21"/>
  <c r="K191" i="21"/>
  <c r="K89" i="21"/>
  <c r="L89" i="21"/>
  <c r="K65" i="21"/>
  <c r="L65" i="21"/>
  <c r="Q16" i="9"/>
  <c r="Z10" i="17"/>
  <c r="L183" i="21"/>
  <c r="K183" i="21"/>
  <c r="P16" i="9"/>
  <c r="AA10" i="17"/>
  <c r="K46" i="17"/>
  <c r="U34" i="17"/>
  <c r="V34" i="17" s="1"/>
  <c r="AB9" i="17"/>
  <c r="AC9" i="17" s="1"/>
  <c r="S5" i="22"/>
  <c r="I70" i="21" s="1"/>
  <c r="H103" i="21"/>
  <c r="I103" i="21"/>
  <c r="K101" i="21"/>
  <c r="L101" i="21"/>
  <c r="Z38" i="17"/>
  <c r="AB38" i="17" s="1"/>
  <c r="AC38" i="17" s="1"/>
  <c r="H52" i="21"/>
  <c r="J52" i="21"/>
  <c r="I52" i="21" s="1"/>
  <c r="H41" i="10"/>
  <c r="K26" i="10"/>
  <c r="L26" i="10" s="1"/>
  <c r="G15" i="27"/>
  <c r="I15" i="27" s="1"/>
  <c r="S1" i="10"/>
  <c r="K62" i="21"/>
  <c r="L62" i="21"/>
  <c r="K165" i="21"/>
  <c r="L165" i="21"/>
  <c r="K179" i="21"/>
  <c r="L179" i="21"/>
  <c r="K84" i="21"/>
  <c r="L84" i="21"/>
  <c r="AB13" i="17"/>
  <c r="AC13" i="17" s="1"/>
  <c r="K104" i="21"/>
  <c r="L104" i="21"/>
  <c r="L105" i="21" l="1"/>
  <c r="AC1" i="17"/>
  <c r="AC5" i="17" s="1"/>
  <c r="L83" i="21"/>
  <c r="AB10" i="17"/>
  <c r="AC10" i="17" s="1"/>
  <c r="J156" i="21"/>
  <c r="I156" i="21"/>
  <c r="H156" i="21"/>
  <c r="J26" i="21"/>
  <c r="I26" i="21" s="1"/>
  <c r="K8" i="9"/>
  <c r="L8" i="9" s="1"/>
  <c r="K52" i="21"/>
  <c r="L52" i="21"/>
  <c r="R16" i="9"/>
  <c r="S16" i="9" s="1"/>
  <c r="S5" i="9"/>
  <c r="I38" i="21" s="1"/>
  <c r="K103" i="21"/>
  <c r="L103" i="21"/>
  <c r="K196" i="21"/>
  <c r="L196" i="21"/>
  <c r="S5" i="10"/>
  <c r="I62" i="21" s="1"/>
  <c r="K41" i="10"/>
  <c r="L41" i="10" s="1"/>
  <c r="H43" i="10"/>
  <c r="U46" i="17"/>
  <c r="V46" i="17" s="1"/>
  <c r="K58" i="17"/>
  <c r="K67" i="17" s="1"/>
  <c r="H5" i="14" s="1"/>
  <c r="K15" i="9"/>
  <c r="L15" i="9" s="1"/>
  <c r="H20" i="9"/>
  <c r="G8" i="27"/>
  <c r="G7" i="27"/>
  <c r="L26" i="21"/>
  <c r="K26" i="21"/>
  <c r="I105" i="21" l="1"/>
  <c r="L156" i="21"/>
  <c r="K156" i="21"/>
  <c r="H32" i="21"/>
  <c r="I32" i="21"/>
  <c r="J32" i="21"/>
  <c r="K20" i="9"/>
  <c r="L20" i="9" s="1"/>
  <c r="H9" i="27"/>
  <c r="I9" i="27" s="1"/>
  <c r="H13" i="27"/>
  <c r="H17" i="27"/>
  <c r="I17" i="27" s="1"/>
  <c r="H10" i="27"/>
  <c r="I10" i="27" s="1"/>
  <c r="H18" i="27"/>
  <c r="I18" i="27" s="1"/>
  <c r="H14" i="27"/>
  <c r="H6" i="9"/>
  <c r="H59" i="14"/>
  <c r="H67" i="14" s="1"/>
  <c r="H58" i="10"/>
  <c r="K43" i="10"/>
  <c r="L43" i="10"/>
  <c r="H24" i="21" l="1"/>
  <c r="J24" i="21"/>
  <c r="I24" i="21" s="1"/>
  <c r="K6" i="9"/>
  <c r="L6" i="9" s="1"/>
  <c r="H12" i="9"/>
  <c r="H56" i="21"/>
  <c r="J56" i="21"/>
  <c r="I56" i="21" s="1"/>
  <c r="K58" i="10"/>
  <c r="L58" i="10" s="1"/>
  <c r="G13" i="27"/>
  <c r="I13" i="27" s="1"/>
  <c r="G14" i="27"/>
  <c r="I14" i="27" s="1"/>
  <c r="L32" i="21"/>
  <c r="K32" i="21"/>
  <c r="L56" i="21" l="1"/>
  <c r="K56" i="21"/>
  <c r="H30" i="21"/>
  <c r="J30" i="21"/>
  <c r="I30" i="21" s="1"/>
  <c r="H22" i="9"/>
  <c r="K12" i="9"/>
  <c r="L12" i="9" s="1"/>
  <c r="H8" i="27"/>
  <c r="I8" i="27" s="1"/>
  <c r="H12" i="27"/>
  <c r="I12" i="27" s="1"/>
  <c r="H16" i="27"/>
  <c r="H5" i="27"/>
  <c r="H6" i="27"/>
  <c r="H11" i="27"/>
  <c r="I11" i="27" s="1"/>
  <c r="H7" i="27"/>
  <c r="I7" i="27" s="1"/>
  <c r="L24" i="21"/>
  <c r="K24" i="21"/>
  <c r="H30" i="9" l="1"/>
  <c r="K22" i="9"/>
  <c r="L22" i="9" s="1"/>
  <c r="G5" i="27"/>
  <c r="I5" i="27" s="1"/>
  <c r="G6" i="27"/>
  <c r="I6" i="27" s="1"/>
  <c r="L30" i="21"/>
  <c r="K30" i="21"/>
  <c r="H34" i="9" l="1"/>
  <c r="K30" i="9"/>
  <c r="L30" i="9" s="1"/>
  <c r="H6" i="11"/>
  <c r="H54" i="9" l="1"/>
  <c r="H41" i="9"/>
  <c r="K34" i="9"/>
  <c r="L34" i="9" s="1"/>
  <c r="H32" i="11"/>
  <c r="K6" i="11"/>
  <c r="L6" i="11" s="1"/>
  <c r="K32" i="11" l="1"/>
  <c r="L32" i="11" s="1"/>
  <c r="H36" i="11"/>
  <c r="H34" i="21"/>
  <c r="J34" i="21"/>
  <c r="I34" i="21" s="1"/>
  <c r="H37" i="21"/>
  <c r="J37" i="21"/>
  <c r="I37" i="21"/>
  <c r="K41" i="9"/>
  <c r="L41" i="9" s="1"/>
  <c r="K54" i="9"/>
  <c r="L54" i="9" s="1"/>
  <c r="K37" i="21" l="1"/>
  <c r="L37" i="21"/>
  <c r="L34" i="21"/>
  <c r="K34" i="21"/>
  <c r="H65" i="11"/>
  <c r="K36" i="11"/>
  <c r="L36" i="11" s="1"/>
  <c r="G16" i="27"/>
  <c r="I16" i="27" s="1"/>
  <c r="G19" i="27"/>
  <c r="I19" i="27" s="1"/>
  <c r="K65" i="11" l="1"/>
  <c r="L65" i="11" s="1"/>
  <c r="H71" i="11"/>
  <c r="K71" i="11" l="1"/>
  <c r="L71" i="11" s="1"/>
  <c r="J78" i="21"/>
  <c r="H78" i="21"/>
  <c r="I78" i="21"/>
  <c r="K78" i="21" l="1"/>
  <c r="D2" i="21" s="1"/>
  <c r="L78" i="21"/>
  <c r="D3" i="21" s="1"/>
</calcChain>
</file>

<file path=xl/sharedStrings.xml><?xml version="1.0" encoding="utf-8"?>
<sst xmlns="http://schemas.openxmlformats.org/spreadsheetml/2006/main" count="2868" uniqueCount="1423">
  <si>
    <t>Prepopulated Tables</t>
  </si>
  <si>
    <t>Based on SORP 2019</t>
  </si>
  <si>
    <t>Table 1</t>
  </si>
  <si>
    <t>Table 2</t>
  </si>
  <si>
    <t>Table 2S</t>
  </si>
  <si>
    <t>Table 3</t>
  </si>
  <si>
    <t>Table 5</t>
  </si>
  <si>
    <t>Table 6</t>
  </si>
  <si>
    <t>Table 9</t>
  </si>
  <si>
    <t>Table 11</t>
  </si>
  <si>
    <t>Table 12</t>
  </si>
  <si>
    <t>Links between tables</t>
  </si>
  <si>
    <t>Feeds into</t>
  </si>
  <si>
    <t>Table 6, 7, 11</t>
  </si>
  <si>
    <t>Table 4</t>
  </si>
  <si>
    <t>Table 1, 7</t>
  </si>
  <si>
    <t>Table 4, 5, 6 (Countries)</t>
  </si>
  <si>
    <t>Table 6 (Countries)</t>
  </si>
  <si>
    <t>Table 7</t>
  </si>
  <si>
    <t>2S</t>
  </si>
  <si>
    <t>6 (Countries)</t>
  </si>
  <si>
    <t>Table 10</t>
  </si>
  <si>
    <t>There are hidden formulas in columns to the right of the template that converts the date format and is used in the keys template</t>
  </si>
  <si>
    <t>Year References</t>
  </si>
  <si>
    <t>Column headings with the following names have a formula link to the Hide_me hidden sheet so they are updated in one go:</t>
  </si>
  <si>
    <t>- Year ended 31 July 20xx</t>
  </si>
  <si>
    <t xml:space="preserve"> - as at 31 July 20xx</t>
  </si>
  <si>
    <t xml:space="preserve"> - Variance (2019/20 v. 2017/18 restated)</t>
  </si>
  <si>
    <t>Table Formatting</t>
  </si>
  <si>
    <t>Main Heads = Column B</t>
  </si>
  <si>
    <t>Sub Heads = Column C</t>
  </si>
  <si>
    <t>OfS Template Links:</t>
  </si>
  <si>
    <t>HESA Template (C18031)</t>
  </si>
  <si>
    <t>OfS Template</t>
  </si>
  <si>
    <t>HESA Template (C20031)</t>
  </si>
  <si>
    <t>Table 1: Consolidated statement of comprehensive income and expenditure</t>
  </si>
  <si>
    <t>No Table 2</t>
  </si>
  <si>
    <t>Table 3: Consolidated balance sheet</t>
  </si>
  <si>
    <t>Table 2: Consolidated balance sheet</t>
  </si>
  <si>
    <t>Table 3 Scotland: Consolidated balance sheet - Scotland</t>
  </si>
  <si>
    <t>N/A</t>
  </si>
  <si>
    <t>Table 2 Scotland: Consolidated balance sheet - Scotland</t>
  </si>
  <si>
    <t>Table 4: Consolidated statement of cash flows</t>
  </si>
  <si>
    <t>Table 3: Consolidated statement of cash flows</t>
  </si>
  <si>
    <t>Table 5: Research grants and contracts - breakdown by source of income and HESA cost centre</t>
  </si>
  <si>
    <t>Table 5: Analysis of income - Research grants and contracts - breakdown by source of income and HESA cost centre</t>
  </si>
  <si>
    <t>Table 4: Research grants and contracts - breakdown by source of income and HESA cost centre</t>
  </si>
  <si>
    <t>Table 6: Tuition fees and education contracts analysed by domicile, mode, level and source</t>
  </si>
  <si>
    <t>Table 6: Analysis of income - Course fees and education contracts analysed by domicile, mode, level and source</t>
  </si>
  <si>
    <t>Table 5: Tuition fees and education contracts analysed by domicile, mode, level and source</t>
  </si>
  <si>
    <t>Table 7: Income analysed by source</t>
  </si>
  <si>
    <t>Table 4: Analysis of income</t>
  </si>
  <si>
    <t>Table 6: Income analysed by source</t>
  </si>
  <si>
    <t>Table 7 Wales: Funding body grants - Wales</t>
  </si>
  <si>
    <t>Table 6 Wales: Funding body grants - Wales</t>
  </si>
  <si>
    <t>Table 7 Scotland: Funding body grants - Scotland</t>
  </si>
  <si>
    <t>Table 6 Scotland: Funding body grants - Scotland</t>
  </si>
  <si>
    <t>Table 7 N Ireland: Funding body grants - Northern Ireland</t>
  </si>
  <si>
    <t>Table 6 N Ireland: Funding body grants - Northern Ireland</t>
  </si>
  <si>
    <t>Table 8: Expenditure -  breakdown by activity and HESA cost centre</t>
  </si>
  <si>
    <t>Table 8: Analysis of expenditure - breakdown by activity and HESA cost centre</t>
  </si>
  <si>
    <t>Table 7: Expenditure -  breakdown by activity and HESA cost centre</t>
  </si>
  <si>
    <t>Table 9: Capital expenditure</t>
  </si>
  <si>
    <t>Table 12: Analysis of capital expenditure</t>
  </si>
  <si>
    <t>Table 8: Capital expenditure</t>
  </si>
  <si>
    <t>Table 10: Separately disclosed material items from the audited financial statement of comprehensive income and expenditure</t>
  </si>
  <si>
    <t>No comparable Table</t>
  </si>
  <si>
    <t>Table 9: Separately disclosed material items from the audited financial statement of comprehensive income and expenditure</t>
  </si>
  <si>
    <t>Table 11: Head of provider remuneration</t>
  </si>
  <si>
    <t>Table 10: Head of provider remuneration</t>
  </si>
  <si>
    <t>Table 12: Analysis of staff costs</t>
  </si>
  <si>
    <t>Table 9: Analysis of expenditure - staff costs</t>
  </si>
  <si>
    <t>Table 11: Analysis of staff costs</t>
  </si>
  <si>
    <t>Table 13: Severance payments</t>
  </si>
  <si>
    <t>Table 10: Analysis of expenditure - severance payments</t>
  </si>
  <si>
    <t>Table 12: Severance payments</t>
  </si>
  <si>
    <t>KFI</t>
  </si>
  <si>
    <t>Table 7: Student numbers (FTE)</t>
  </si>
  <si>
    <t>Table 13: Financial commitments</t>
  </si>
  <si>
    <t>Table 14: Access and participation investment</t>
  </si>
  <si>
    <t>OFS submission to C18035 Tables (Datasubmit flags):</t>
  </si>
  <si>
    <t>Table 1 = All 'YES' (including values from other tables and subtotals)</t>
  </si>
  <si>
    <t>Table 3 = All 'YES' (including values from subtotals)</t>
  </si>
  <si>
    <t>Table 4 =  All 'YES' (including values from other tables and subtotals)</t>
  </si>
  <si>
    <t>Table 5 = 'Mix of YES' or 'NO' (including values from other tables and subtotals)</t>
  </si>
  <si>
    <t>Table 6= All 'YES' (including values from subtotals)</t>
  </si>
  <si>
    <t>Table 7 = Mix of 'YES' or 'NO' (including values from subtotals), 'NULL' for values HESA have used from other tables</t>
  </si>
  <si>
    <t>Table 8 = Mix of 'YES' or 'NO' (including values from subtotals)</t>
  </si>
  <si>
    <t>Table 9 = Mix of YES' (including values from subtotals), 'NULL' for values HESA have worked out as a subtotal </t>
  </si>
  <si>
    <t>Table 11= Mix of 'YES' or 'NO' (including values from subtotals)</t>
  </si>
  <si>
    <t>Table 12 = Mix of 'YES' or 'NO' (including values from subtotals), 'NULL' for values HESA have worked out as a subtotal</t>
  </si>
  <si>
    <t>Table 13 =Mix of 'YES' or 'NO'</t>
  </si>
  <si>
    <t>Summary:</t>
  </si>
  <si>
    <t>Cost centre tables (5 and 8), the derived cost centre data in Table 7, blank cells in Table 11, blank cells in Table 12 and parts of Table 13 can have 'NO' as not all OfS providers need to complete these cells</t>
  </si>
  <si>
    <t>Calculated values and values pulled in from other tables have 'YES'</t>
  </si>
  <si>
    <t>Therefore only 3 values are needed: YES, NO, NULL</t>
  </si>
  <si>
    <t>List for Table 10 &amp; 12</t>
  </si>
  <si>
    <t>List for Table 1</t>
  </si>
  <si>
    <t>Year ended 31 July 2025</t>
  </si>
  <si>
    <t>Year ended 31 July 2024</t>
  </si>
  <si>
    <t>Yes</t>
  </si>
  <si>
    <t>No</t>
  </si>
  <si>
    <t>as at 31 July 2025</t>
  </si>
  <si>
    <t>List for variance explanation</t>
  </si>
  <si>
    <t>Variance (2024/25 v. 2023/24 restated)</t>
  </si>
  <si>
    <t>New/ended business activity</t>
  </si>
  <si>
    <t>Expected increase/decrease in growth</t>
  </si>
  <si>
    <t>Head of provider at
 31 July 2025</t>
  </si>
  <si>
    <t>One off event</t>
  </si>
  <si>
    <t>Accounting treatment</t>
  </si>
  <si>
    <t>Other</t>
  </si>
  <si>
    <t xml:space="preserve"> </t>
  </si>
  <si>
    <t>Country</t>
  </si>
  <si>
    <t>N</t>
  </si>
  <si>
    <t>S</t>
  </si>
  <si>
    <t>W</t>
  </si>
  <si>
    <t>E</t>
  </si>
  <si>
    <t>Changes Made for C24031:</t>
  </si>
  <si>
    <t>Date</t>
  </si>
  <si>
    <t>Table Changed</t>
  </si>
  <si>
    <t>Head/Rule Changed</t>
  </si>
  <si>
    <t>Change Made</t>
  </si>
  <si>
    <t xml:space="preserve">Who Requested </t>
  </si>
  <si>
    <t>3a</t>
  </si>
  <si>
    <t>DSIT Research Councils, The Royal Society, British Academy and The Royal Society of Edinburgh</t>
  </si>
  <si>
    <t>3ax</t>
  </si>
  <si>
    <t>3l</t>
  </si>
  <si>
    <t>EU other</t>
  </si>
  <si>
    <t>3m</t>
  </si>
  <si>
    <t>Non-EU (non-UK) - based charities (open competitive process)</t>
  </si>
  <si>
    <t>3n</t>
  </si>
  <si>
    <t>Non-EU (non-UK) industry, commerce and public corporations</t>
  </si>
  <si>
    <t>3o</t>
  </si>
  <si>
    <t>Non-EU (non-UK) other</t>
  </si>
  <si>
    <t>Header</t>
  </si>
  <si>
    <t>1 - Valid income from the Department for Science, Innovation and Technology Research Councils, The Royal Society, British Academy and The Royal Society of Edinburgh</t>
  </si>
  <si>
    <t>6a</t>
  </si>
  <si>
    <t>6ax</t>
  </si>
  <si>
    <t>Total DSIT Research Councils, The Royal Society, British Academy and The Royal Society of Edinburgh</t>
  </si>
  <si>
    <t>6j</t>
  </si>
  <si>
    <t>6k</t>
  </si>
  <si>
    <t>Non-EU (non-UK)-based charities (open competitive process)</t>
  </si>
  <si>
    <t>6l</t>
  </si>
  <si>
    <t>6m</t>
  </si>
  <si>
    <t>6_W</t>
  </si>
  <si>
    <t>Removal of head 2: Total Welsh European Funding Office (WEFO) grants receivable in the year (MEMO only)</t>
  </si>
  <si>
    <t>Removed</t>
  </si>
  <si>
    <t>https://hesa.visualstudio.com/HESA/_workitems/edit/186453</t>
  </si>
  <si>
    <t>Changes Made for C22031:</t>
  </si>
  <si>
    <t>08/08/2023 00:00:00</t>
  </si>
  <si>
    <t>Table_6_Wales</t>
  </si>
  <si>
    <t>Head 1g: Other HEFCW grants</t>
  </si>
  <si>
    <t>Name change: Head 1g: Other grants from UK funding bodies</t>
  </si>
  <si>
    <t>Diane Rowland (HEFCW)</t>
  </si>
  <si>
    <t>Head 1h: HEFCW Capital grants recognised in the year</t>
  </si>
  <si>
    <t>Name change: Head 1h: Capital grants from UK funding bodies recognised in the year</t>
  </si>
  <si>
    <t>28/11/2023 00:00:00</t>
  </si>
  <si>
    <t>Table_6_Scotland</t>
  </si>
  <si>
    <t>Head 1h: Other grants from UK funding bodies</t>
  </si>
  <si>
    <t>New head added to accommodate guidance change for providers in Northern Ireland to include UKRI Talent Stabilisation fund income under.</t>
  </si>
  <si>
    <t>SFC</t>
  </si>
  <si>
    <t>Table_6_N_Ireland</t>
  </si>
  <si>
    <t>Head 1e: Other grants from UK funding bodies</t>
  </si>
  <si>
    <t>New head added to accommodate guidance change for providers in Scotland to include UKRI Talent Stabilisation fund income under.</t>
  </si>
  <si>
    <t>DfENI</t>
  </si>
  <si>
    <t>Changes Made for C21031:</t>
  </si>
  <si>
    <t>Compared to OfS Template</t>
  </si>
  <si>
    <t>25/07/2022 00:00:00</t>
  </si>
  <si>
    <t>Head 3: Adjustment for investing or financing activities</t>
  </si>
  <si>
    <t xml:space="preserve">Additional head: Head 3f Other adjustment for investing or financing activities </t>
  </si>
  <si>
    <t>OfS AFR22 Template</t>
  </si>
  <si>
    <t>Head 1d: Other EU-domiciled students</t>
  </si>
  <si>
    <t>Name change: Head 1d: Other EU-domiciled students</t>
  </si>
  <si>
    <t>Head 1viii: Total other EU fees</t>
  </si>
  <si>
    <t>Name change: Head 1viii: Total other EU fees</t>
  </si>
  <si>
    <t>Other changes</t>
  </si>
  <si>
    <t>21/07/2022 00:00:00</t>
  </si>
  <si>
    <t>All Tables</t>
  </si>
  <si>
    <t>All year references updated</t>
  </si>
  <si>
    <t>Roll-on</t>
  </si>
  <si>
    <t>02/08/2022 00:00:00</t>
  </si>
  <si>
    <t>Title Page</t>
  </si>
  <si>
    <t>QR.C24031.Table11.8, QR.C24031.Table11.9</t>
  </si>
  <si>
    <t>New rules to warn providers where academic/non-acadfemic salaries have not been returned on Table 11.</t>
  </si>
  <si>
    <t>Feedback from HESA Official Stats</t>
  </si>
  <si>
    <t xml:space="preserve">Table 6_Wales </t>
  </si>
  <si>
    <t>Head 1a, Recurrent Teaching grant - full-time UG provision (including PGCE and premia and per capita funding)</t>
  </si>
  <si>
    <t>Head name change</t>
  </si>
  <si>
    <t>BCI 135633 request from HEFCW</t>
  </si>
  <si>
    <t>Head 1b, Recurrent Teaching grant - full-time PG provision (including premia and per capita funding)</t>
  </si>
  <si>
    <t>Head 1c, Recurrent Teaching grant - part-time UG provision (including premia and per capita funding)</t>
  </si>
  <si>
    <t>Head 1d, Recurrent Teaching grant - part-time PG provision (including premia and per capita funding)</t>
  </si>
  <si>
    <t>Head 1e, Recurrent QR, PGR and RWIF funding</t>
  </si>
  <si>
    <t>Head 1f, Capital grants recognised in the year - equipment Recurrent equalities, well-being and employability funding</t>
  </si>
  <si>
    <t>Head 1g, Non formula funding Other HEFCW grants</t>
  </si>
  <si>
    <t>Head 1h, HEFCW capital grants recognised in the year – estates</t>
  </si>
  <si>
    <t>Head 1i, DfES recurrent SHELL and other Welsh Government grants</t>
  </si>
  <si>
    <t>Head 1j, Total Welsh funding body grants receivable in the year</t>
  </si>
  <si>
    <t>Feedback on Template version 0.a</t>
  </si>
  <si>
    <t>15/08/2022 00:00:00</t>
  </si>
  <si>
    <t>Table 6_Scotland</t>
  </si>
  <si>
    <t>Head 3</t>
  </si>
  <si>
    <t>Head deleted</t>
  </si>
  <si>
    <t>Claire Taylor (SFC)</t>
  </si>
  <si>
    <t xml:space="preserve">2024-25 HESA Finance record - </t>
  </si>
  <si>
    <t>Version:</t>
  </si>
  <si>
    <t>Provider name:</t>
  </si>
  <si>
    <t>The University of Edinburgh</t>
  </si>
  <si>
    <t>Errors:</t>
  </si>
  <si>
    <t>UKPRN:</t>
  </si>
  <si>
    <t>10007790</t>
  </si>
  <si>
    <t>Warnings:</t>
  </si>
  <si>
    <t>Country:</t>
  </si>
  <si>
    <t>RECID:</t>
  </si>
  <si>
    <t>24031</t>
  </si>
  <si>
    <t xml:space="preserve">The Finance record is split over separate worksheet tabs with one table per tab. Some tabs are specific to the location of the provider. All relevant tables must be completed.
</t>
  </si>
  <si>
    <t>Please note that when restating figures the cell colour will change to show that the figure is different from that returned to HESA last year.</t>
  </si>
  <si>
    <t>Some of these rules are exempted by switches applicable to individual providers</t>
  </si>
  <si>
    <t>For information on current exemptions please contact Institutional Liaison:</t>
  </si>
  <si>
    <t>Email: liaison@hesa.ac.uk</t>
  </si>
  <si>
    <t xml:space="preserve">Telephone: 01242 388531 </t>
  </si>
  <si>
    <t>Help for completing the record and COMMIT-stage validation can be found at:</t>
  </si>
  <si>
    <t>General Guidance to Tables and COMMIT-stage validation</t>
  </si>
  <si>
    <t>HESA Specific Rules</t>
  </si>
  <si>
    <t>Rule number</t>
  </si>
  <si>
    <t>Rule wording</t>
  </si>
  <si>
    <t>Rule Head reference</t>
  </si>
  <si>
    <t>Status</t>
  </si>
  <si>
    <t>Result</t>
  </si>
  <si>
    <t>Triggered Head and value</t>
  </si>
  <si>
    <t>hide this column</t>
  </si>
  <si>
    <t>QR.C24031.Table1.1</t>
  </si>
  <si>
    <t>Tuition fees and education contracts must not be zero.</t>
  </si>
  <si>
    <t>Error</t>
  </si>
  <si>
    <t>QR.C24031.Table1.2</t>
  </si>
  <si>
    <t>Funding body grants must not be zero.</t>
  </si>
  <si>
    <t>QR.C24031.Table1.3</t>
  </si>
  <si>
    <t>Research grants and contracts should not be zero.</t>
  </si>
  <si>
    <t>Warning</t>
  </si>
  <si>
    <t>QR.C24031.Table1.4</t>
  </si>
  <si>
    <t>Other income must not be zero.</t>
  </si>
  <si>
    <t>QR.C24031.Table1.5</t>
  </si>
  <si>
    <t>Investment income should not be zero.</t>
  </si>
  <si>
    <t>QR.C24031.Table1.6</t>
  </si>
  <si>
    <t>Donations and endowments should not be zero.</t>
  </si>
  <si>
    <t>QR.C24031.Table1.7</t>
  </si>
  <si>
    <t>Total income must not be zero (current year).</t>
  </si>
  <si>
    <t>QR.C24031.Table1.8</t>
  </si>
  <si>
    <t>Total income must not be zero (restated year).</t>
  </si>
  <si>
    <t>QR.C24031.Table1.9</t>
  </si>
  <si>
    <t>Total expenditure must not be zero (current year).</t>
  </si>
  <si>
    <t>QR.C24031.Table1.10</t>
  </si>
  <si>
    <t>Total expenditure must not be zero (restated year).</t>
  </si>
  <si>
    <t>QR.C24031.Table1.12</t>
  </si>
  <si>
    <t>Total comprehensive income must equal the Total breakdown represented by Endowment, Restricted, Unrestricted, Revaluation reserve and Non-controlling interest.</t>
  </si>
  <si>
    <t>QR.C24031.Table1.13</t>
  </si>
  <si>
    <t>Details of 'Miscellaneous types of Other comprehensive income' items must be specified in the text box if a value is entered.</t>
  </si>
  <si>
    <t>QR.C24031.Table1.14</t>
  </si>
  <si>
    <t>Miscellaneous types of Other comprehensive income' text box must be blank if a value is NOT entered.</t>
  </si>
  <si>
    <t>QR.C24031.Table1.15</t>
  </si>
  <si>
    <t>Total comprehensive income for the year should equal net assets movement.</t>
  </si>
  <si>
    <t>QR.C24031.Table1.16</t>
  </si>
  <si>
    <t>There is a significant difference of values between years on Table 1.</t>
  </si>
  <si>
    <t>QR.C24031.Table1.17</t>
  </si>
  <si>
    <t>There is a difference of values between the restated figures on Table 1.</t>
  </si>
  <si>
    <t>QR.C24031.Table1.18</t>
  </si>
  <si>
    <t>A 'Yes' or 'No' must be indicated for whether any material items have been disclosed separately on the face of the Statement of Consolidated Income in your financial statements (current year).</t>
  </si>
  <si>
    <t>QR.C24031.Table1.19</t>
  </si>
  <si>
    <t>A 'Yes' or 'No' must be indicated for whether any material items have been disclosed separately on the face of the Statement of Consolidated Income in your financial statements (restated year).</t>
  </si>
  <si>
    <t>QR.C24031.Table1.20</t>
  </si>
  <si>
    <t>If it has been declared as 'Yes' that material items have been disclosed separately, then there should be a value entered in Table 9 Separately disclosed material items from the audited financial statement of comprehensive income and expenditure (current year).</t>
  </si>
  <si>
    <t>QR.C24031.Table1.21</t>
  </si>
  <si>
    <t>If it has been declared as 'Yes' that material items have been disclosed separately, then there should be a value entered in Table 9 Separately disclosed material items from the audited financial statement of comprehensive income and expenditure (restated year).</t>
  </si>
  <si>
    <t>QR.C24031.Table1.22</t>
  </si>
  <si>
    <t>If it has been declared as 'No' that material items have been disclosed separately, then there should not be a value entered in Table 9 Separately disclosed material items from the audited financial statement of comprehensive income and expenditure (current year).</t>
  </si>
  <si>
    <t>QR.C24031.Table1.23</t>
  </si>
  <si>
    <t>If it has been declared as 'No' that material items have been disclosed separately, then there should not be a value entered in Table 9 Separately disclosed material items from the audited financial statement of comprehensive income and expenditure (restated year).</t>
  </si>
  <si>
    <t>QR.C24031.Table1.24</t>
  </si>
  <si>
    <t>If it has been declared as 'Yes' that material items have been disclosed separately, items must be specified in the text box (current year).</t>
  </si>
  <si>
    <t>QR.C24031.Table1.25</t>
  </si>
  <si>
    <t>If it has been declared as 'Yes' that material items have been disclosed separately, items must be specified in the text box (restated year).</t>
  </si>
  <si>
    <t>QR.C24031.Table2.1</t>
  </si>
  <si>
    <t>Total reserves must not be zero (current year).</t>
  </si>
  <si>
    <t>QR.C24031.Table2.2</t>
  </si>
  <si>
    <t>Total reserves must not be zero (restated year).</t>
  </si>
  <si>
    <t>QR.C24031.Table2.3</t>
  </si>
  <si>
    <t>Total non-current assets must not be zero (current year).</t>
  </si>
  <si>
    <t>QR.C24031.Table2.4</t>
  </si>
  <si>
    <t>Total non-current assets must not be zero (restated year).</t>
  </si>
  <si>
    <t>QR.C24031.Table2.5</t>
  </si>
  <si>
    <t>Total current assets must not be zero (current year).</t>
  </si>
  <si>
    <t>QR.C24031.Table2.6</t>
  </si>
  <si>
    <t>Total current assets must not be zero (restated year).</t>
  </si>
  <si>
    <t>QR.C24031.Table2.7</t>
  </si>
  <si>
    <t>Total creditors (amounts falling due within one year) should not be zero (current year).</t>
  </si>
  <si>
    <t>QR.C24031.Table2.8</t>
  </si>
  <si>
    <t>Total creditors (amounts falling due within one year) should not be zero (restated year).</t>
  </si>
  <si>
    <t>QR.C24031.Table2.9</t>
  </si>
  <si>
    <t>Total net assets/(liabilities) must equal Total reserves (current year).</t>
  </si>
  <si>
    <t>QR.C24031.Table2.10</t>
  </si>
  <si>
    <t>Total net assets must equal Total reserves (restated year).</t>
  </si>
  <si>
    <t>QR.C24031.Table2.11</t>
  </si>
  <si>
    <t>Negative goodwill value must be entered as a negative (current year).</t>
  </si>
  <si>
    <t>QR.C24031.Table2.12</t>
  </si>
  <si>
    <t>Negative goodwill value must be entered as a negative (restated year).</t>
  </si>
  <si>
    <t>QR.C24031.Table2.13</t>
  </si>
  <si>
    <t>Tangible assets must not be zero (current year).</t>
  </si>
  <si>
    <t>QR.C24031.Table2.14</t>
  </si>
  <si>
    <t>Tangible assets must not be zero (restated year).</t>
  </si>
  <si>
    <t>QR.C24031.Table2.15</t>
  </si>
  <si>
    <t>There is a significant difference of values between years on Table 2.</t>
  </si>
  <si>
    <t>QR.C24031.Table2.16</t>
  </si>
  <si>
    <t>There is a difference of values between the restated figures on Table 2.</t>
  </si>
  <si>
    <t>QR.C24031.Table2S.1</t>
  </si>
  <si>
    <t>Investments value must be the same between tables (current year).</t>
  </si>
  <si>
    <t>QR.C24031.Table2S.2</t>
  </si>
  <si>
    <t>Cash and cash equivalents value must be the same between tables (current year).</t>
  </si>
  <si>
    <t>QR.C24031.Table2S.3</t>
  </si>
  <si>
    <t>Investments value must be the same between tables (restated year).</t>
  </si>
  <si>
    <t>QR.C24031.Table2S.4</t>
  </si>
  <si>
    <t>Cash and cash equivalents must be the same between tables (restated year).</t>
  </si>
  <si>
    <t>QR.C24031.Table2S.5</t>
  </si>
  <si>
    <t>Table_2_Scotland should not contain all zeros for providers in Scotland (current year and restated year).</t>
  </si>
  <si>
    <t>QR.C24031.Table2S.6</t>
  </si>
  <si>
    <t>Table_2_Scotland must not be completed by providers outside Scotland.</t>
  </si>
  <si>
    <t>QR.C24031.Table2S.7</t>
  </si>
  <si>
    <t>There is a significant difference of values between years on Table_2_Scotland.</t>
  </si>
  <si>
    <t>QR.C24031.Table2S.8</t>
  </si>
  <si>
    <t>There is a difference of values between the restated figures on Table_2_Scotland.</t>
  </si>
  <si>
    <t>QR.C24031.Table3.1</t>
  </si>
  <si>
    <t>Adjustment for non-cash items: Other, details of 'other' items must be specified in the text box if a value is entered.</t>
  </si>
  <si>
    <t>QR.C24031.Table3.2</t>
  </si>
  <si>
    <t>Adjustment for non-cash items: Other, text box must be blank if a value is NOT entered.</t>
  </si>
  <si>
    <t>QR.C24031.Table3.3</t>
  </si>
  <si>
    <t>Capital grant income should not be zero (current year).</t>
  </si>
  <si>
    <t>QR.C24031.Table3.4</t>
  </si>
  <si>
    <t>Capital grant income should not be zero (restated year).</t>
  </si>
  <si>
    <t>QR.C24031.Table3.5</t>
  </si>
  <si>
    <t>Capital grants receipts should not be zero (current year).</t>
  </si>
  <si>
    <t>QR.C24031.Table3.6</t>
  </si>
  <si>
    <t>Capital grants receipts should not be zero (restated year).</t>
  </si>
  <si>
    <t>QR.C24031.Table3.7</t>
  </si>
  <si>
    <t>Cash and cash equivalents minus Bank overdrafts minus Cash and cash equivalents at the end of the year is greater than +/- 5 (current year).</t>
  </si>
  <si>
    <t>QR.C24031.Table3.8</t>
  </si>
  <si>
    <t>Cash and cash equivalents minus Bank overdrafts minus Cash and cash equivalents at the end of the year is greater than +/- 5 (restated year).</t>
  </si>
  <si>
    <t>QR.C24031.Table3.9</t>
  </si>
  <si>
    <t>Payments made to acquire tangible assets should be more than Payments made to acquire intangible assets.</t>
  </si>
  <si>
    <t>QR.C24031.Table3.11</t>
  </si>
  <si>
    <t>Either Investment income or Endowment income have been returned  as a positive number when they should be returned as a negative (restated year).</t>
  </si>
  <si>
    <t>QR.C24031.Table3.12</t>
  </si>
  <si>
    <t>There is a difference of values between the restated figures on Table 3.</t>
  </si>
  <si>
    <t>QR.C24031.Table4.1</t>
  </si>
  <si>
    <t>There is a value for Total research grants in the income table but no value for this in the expenditure table, or vice versa. Is this genuine?</t>
  </si>
  <si>
    <t>QR.C24031.Table4.2</t>
  </si>
  <si>
    <t>There is a value for Total DSIT Research Councils in the income table but no value for this in the expenditure table, or vice versa. Is this genuine?</t>
  </si>
  <si>
    <t>QR.C24031.Table4.3</t>
  </si>
  <si>
    <t>There is a value for UK-based charities (open competitive process) in the income table but no value for this in the expenditure table, or vice versa. Is this genuine?</t>
  </si>
  <si>
    <t>QR.C24031.Table4.4</t>
  </si>
  <si>
    <t>There is a value for UK-based charities (other) in the income table but no value for this in the expenditure table, or vice versa. Is this genuine?</t>
  </si>
  <si>
    <t>QR.C24031.Table4.5</t>
  </si>
  <si>
    <t>There is a value for UK central government bodies/local authorities, health and hospital authorities in the income table but no value for this in the expenditure table, or vice versa. Is this genuine?</t>
  </si>
  <si>
    <t>QR.C24031.Table4.6</t>
  </si>
  <si>
    <t>There is a value for UK industry, commerce and public corporations in the income table but no value for this in the expenditure table, or vice versa. Is this genuine?</t>
  </si>
  <si>
    <t>QR.C24031.Table4.7</t>
  </si>
  <si>
    <t>There is a value for UK other sources in the income table but no value for this in the expenditure table, or vice versa. Is this genuine?</t>
  </si>
  <si>
    <t>QR.C24031.Table4.8</t>
  </si>
  <si>
    <t>There is a value for EU government bodies in the income table but no value for this in the expenditure table, or vice versa. Is this genuine?</t>
  </si>
  <si>
    <t>QR.C24031.Table4.9</t>
  </si>
  <si>
    <t>There is a value for EU-based charities (open competitive process) in the income table but no value for this in the expenditure table, or vice versa. Is this genuine?</t>
  </si>
  <si>
    <t>QR.C24031.Table4.10</t>
  </si>
  <si>
    <t>There is a value for EU industry, commerce and public corporations in the income table but no value for this in the expenditure table, or vice versa. Is this genuine?</t>
  </si>
  <si>
    <t>QR.C24031.Table4.11</t>
  </si>
  <si>
    <t>There is a value for EU other in the income table but no value for this in the expenditure table, or vice versa. Is this genuine?</t>
  </si>
  <si>
    <t>QR.C24031.Table4.12</t>
  </si>
  <si>
    <t>There is a value for Non-EU (non-UK) -based charities (open competitive process) in the income table but no value for this in the expenditure table, or vice versa. Is this genuine?</t>
  </si>
  <si>
    <t>QR.C24031.Table4.13</t>
  </si>
  <si>
    <t>There is a value for Non-EU (non-UK) industry, commerce and public corporations in the income table but no value for this in the expenditure table, or vice versa. Is this genuine?</t>
  </si>
  <si>
    <t>QR.C24031.Table4.14</t>
  </si>
  <si>
    <t>There is a value for Non-EU (non-UK) other in the income table but no value for this in the expenditure table, or vice versa. Is this genuine?</t>
  </si>
  <si>
    <t>QR.C24031.Table5.1</t>
  </si>
  <si>
    <t>Research training support grant income would not usually all be under: Income for general research studentships from charities.</t>
  </si>
  <si>
    <t>QR.C24031.Table5.4</t>
  </si>
  <si>
    <t xml:space="preserve">If provider is in Scotland then the sum of column 1 SLC/LEAs/SAAS/DfE(NI), Head 1ai/1bi FT UG and Head 1aii/1bii FT PGCE and Head 1aiii/1biii FT PG taught and Head 1av/1bv PT UG must not be zero.  </t>
  </si>
  <si>
    <t>QR.C24031.Table5.5</t>
  </si>
  <si>
    <t xml:space="preserve">If provider is in Wales then the sum of column 1 SLC/LEAs/SAAS/DfE(NI), Head 1ai/1bi FT UG and Head 1aii/1bii FT PGCE and Head 1aiii/1biii FT PG taught and Head 1av/1bv PT UG must not be zero.  </t>
  </si>
  <si>
    <t>QR.C24031.Table5.6</t>
  </si>
  <si>
    <t xml:space="preserve">If provider is in Northern Ireland then the sum of column 1 SLC/LEAs/SAAS/DfE(NI), Head 1ai/1bi FT UG and Head 1aii/1bii FT PGCE and Head 1aiii/1biii FT PG taught and Head 1av/1bv PT UG must not be zero.  </t>
  </si>
  <si>
    <t>QR.C24031.Table5.8</t>
  </si>
  <si>
    <t>Total Other EU fees should not be zero.</t>
  </si>
  <si>
    <t>QR.C24031.Table5.9</t>
  </si>
  <si>
    <t>Total Non-EU fees should not be zero.</t>
  </si>
  <si>
    <t>QR.C24031.Table5.10</t>
  </si>
  <si>
    <t>UK domicile students, Other EU domicile students, Non-EU domicile students, Non-credit bearing course fees, FE course fees and Research training support grants should have a total value greater than zero in more than 25% of cells.</t>
  </si>
  <si>
    <t>QR.C24031.Table5.11</t>
  </si>
  <si>
    <t>Total tuition fees and education contracts must be the same as Table_1_UK Tuition fees and education contracts (restated year).</t>
  </si>
  <si>
    <t>QR.C24031.Table5.12</t>
  </si>
  <si>
    <t>There is a significant difference of values between years on Table 5.</t>
  </si>
  <si>
    <t>QR.C24031.Table5.14</t>
  </si>
  <si>
    <t xml:space="preserve">Transnational education in EU included in the above or Transnational education overseas included in the above should not be zero.  </t>
  </si>
  <si>
    <t>QR.C24031.Table6W.1</t>
  </si>
  <si>
    <t>Completion of this country specific table must only be by providers in Wales.</t>
  </si>
  <si>
    <t>QR.C24031.Table6S.1</t>
  </si>
  <si>
    <t>Completion of this country specific table must only be by providers in Scotland.</t>
  </si>
  <si>
    <t>QR.C24031.Table6N.1</t>
  </si>
  <si>
    <t>Completion of this country specific table must only be by providers in Northern Ireland.</t>
  </si>
  <si>
    <t>QR.C24031.Table7.1</t>
  </si>
  <si>
    <t>101 Clinical medicine: If Total staff costs are greater than zero then there should be an Other operating expenses value.</t>
  </si>
  <si>
    <t>QR.C24031.Table7.2</t>
  </si>
  <si>
    <t>102 Clinical dentistry: If Total staff costs are greater than zero then there should be an Other operating expenses value.</t>
  </si>
  <si>
    <t>QR.C24031.Table7.3</t>
  </si>
  <si>
    <t>103 Nursing &amp; allied health professions: If Total staff costs are greater than zero then there should be an Other operating expenses value.</t>
  </si>
  <si>
    <t>QR.C24031.Table7.4</t>
  </si>
  <si>
    <t>104 Psychology &amp; behavioural sciences: If Total staff costs are greater than zero then there should be an Other operating expenses value.</t>
  </si>
  <si>
    <t>QR.C24031.Table7.5</t>
  </si>
  <si>
    <t>105 Health &amp; community studies: If Total staff costs are greater than zero then there should be an Other operating expenses value.</t>
  </si>
  <si>
    <t>QR.C24031.Table7.6</t>
  </si>
  <si>
    <t>106 Anatomy &amp; physiology: If Total staff costs are greater than zero then there should be an Other operating expenses value.</t>
  </si>
  <si>
    <t>QR.C24031.Table7.7</t>
  </si>
  <si>
    <t>107 Pharmacy &amp; pharmacology:  If Total staff costs are greater than zero then there should be an Other operating expenses value.</t>
  </si>
  <si>
    <t>QR.C24031.Table7.8</t>
  </si>
  <si>
    <t>108 Sports science &amp; leisure studies: If Total staff costs are greater than zero then there should be an Other operating expenses value.</t>
  </si>
  <si>
    <t>QR.C24031.Table7.9</t>
  </si>
  <si>
    <t>109 Veterinary science: If Total staff costs are greater than zero then there should be an Other operating expenses value.</t>
  </si>
  <si>
    <t>QR.C24031.Table7.10</t>
  </si>
  <si>
    <t>110 Agriculture, forestry &amp; food science: If Total staff costs are greater than zero then there should be an Other operating expenses value.</t>
  </si>
  <si>
    <t>QR.C24031.Table7.11</t>
  </si>
  <si>
    <t>111 Earth, marine &amp; environmental sciences: If Total staff costs are greater than zero then there should be an Other operating expenses value.</t>
  </si>
  <si>
    <t>QR.C24031.Table7.12</t>
  </si>
  <si>
    <t>112 Biosciences: If Total staff costs are greater than zero then there should be an Other operating expenses value.</t>
  </si>
  <si>
    <t>QR.C24031.Table7.13</t>
  </si>
  <si>
    <t>113 Chemistry: If Total staff costs are greater than zero then there should be an Other operating expenses value.</t>
  </si>
  <si>
    <t>QR.C24031.Table7.14</t>
  </si>
  <si>
    <t>114 Physics: If Total staff costs are greater than zero then there should be an Other operating expenses value.</t>
  </si>
  <si>
    <t>QR.C24031.Table7.15</t>
  </si>
  <si>
    <t>115 General engineering: If Total staff costs are greater than zero then there should be an Other operating expenses value.</t>
  </si>
  <si>
    <t>QR.C24031.Table7.16</t>
  </si>
  <si>
    <t>116 Chemical engineering: If Total staff costs are greater than zero then there should be an Other operating expenses value.</t>
  </si>
  <si>
    <t>QR.C24031.Table7.17</t>
  </si>
  <si>
    <t>117 Mineral, metallurgy &amp; materials engineering: If Total staff costs are greater than zero then there should be an Other operating expenses value.</t>
  </si>
  <si>
    <t>QR.C24031.Table7.18</t>
  </si>
  <si>
    <t>118 Civil engineering: If Total staff costs are greater than zero then there should be an Other operating expenses value.</t>
  </si>
  <si>
    <t>QR.C24031.Table7.19</t>
  </si>
  <si>
    <t>119 Electrical, electronic &amp; computer engineering: If Total staff costs are greater than zero then there should be an Other operating expenses value.</t>
  </si>
  <si>
    <t>QR.C24031.Table7.20</t>
  </si>
  <si>
    <t>120 Mechanical, aero &amp; production engineering: If Total staff costs are greater than zero then there should be an Other operating expenses value.</t>
  </si>
  <si>
    <t>QR.C24031.Table7.21</t>
  </si>
  <si>
    <t>121 IT, systems sciences &amp; computer software engineering: If Total staff costs are greater than zero then there should be an Other operating expenses value.</t>
  </si>
  <si>
    <t>QR.C24031.Table7.22</t>
  </si>
  <si>
    <t>122 Mathematics: If Total staff costs are greater than zero then there should be an Other operating expenses value.</t>
  </si>
  <si>
    <t>QR.C24031.Table7.23</t>
  </si>
  <si>
    <t>123 Architecture, built environment &amp; planning: If Total staff costs are greater than zero then there should be an Other operating expenses value.</t>
  </si>
  <si>
    <t>QR.C24031.Table7.24</t>
  </si>
  <si>
    <t>124 Geography &amp; environmental studies: If Total staff costs are greater than zero then there should be an Other operating expenses value.</t>
  </si>
  <si>
    <t>QR.C24031.Table7.25</t>
  </si>
  <si>
    <t>125 Area studies: If Total staff costs are greater than zero then there should be an Other operating expenses value.</t>
  </si>
  <si>
    <t>QR.C24031.Table7.26</t>
  </si>
  <si>
    <t>126 Archaeology: If Total staff costs are greater than zero then there should be an Other operating expenses value.</t>
  </si>
  <si>
    <t>QR.C24031.Table7.27</t>
  </si>
  <si>
    <t>127 Anthropology &amp; development studies: If Total staff costs are greater than zero then there should be an Other operating expenses value.</t>
  </si>
  <si>
    <t>QR.C24031.Table7.28</t>
  </si>
  <si>
    <t>128 Politics &amp; international studies: If Total staff costs are greater than zero then there should be an Other operating expenses value.</t>
  </si>
  <si>
    <t>QR.C24031.Table7.29</t>
  </si>
  <si>
    <t>129 Economics &amp; econometrics: If Total staff costs are greater than zero then there should be an Other operating expenses value.</t>
  </si>
  <si>
    <t>QR.C24031.Table7.30</t>
  </si>
  <si>
    <t>130 Law: If Total staff costs are greater than zero then there should be an Other operating expenses value.</t>
  </si>
  <si>
    <t>QR.C24031.Table7.31</t>
  </si>
  <si>
    <t>131 Social work &amp; social policy: If Total staff costs are greater than zero then there should be an Other operating expenses value.</t>
  </si>
  <si>
    <t>QR.C24031.Table7.32</t>
  </si>
  <si>
    <t>132 Sociology: If Total staff costs are greater than zero then there should be an Other operating expenses value.</t>
  </si>
  <si>
    <t>QR.C24031.Table7.33</t>
  </si>
  <si>
    <t>133 Business &amp; management studies: If Total staff costs are greater than zero then there should be an Other operating expenses value.</t>
  </si>
  <si>
    <t>QR.C24031.Table7.34</t>
  </si>
  <si>
    <t>134 Catering &amp; hospitality management: If Total staff costs are greater than zero then there should be an Other operating expenses value.</t>
  </si>
  <si>
    <t>QR.C24031.Table7.35</t>
  </si>
  <si>
    <t>135 Education: If Total staff costs are greater than zero then there should be an Other operating expenses value.</t>
  </si>
  <si>
    <t>QR.C24031.Table7.36</t>
  </si>
  <si>
    <t>136 Continuing education: If Total staff costs are greater than zero then there should be an Other operating expenses value.</t>
  </si>
  <si>
    <t>QR.C24031.Table7.37</t>
  </si>
  <si>
    <t>137 Modern languages: If Total staff costs are greater than zero then there should be an Other operating expenses value.</t>
  </si>
  <si>
    <t>QR.C24031.Table7.38</t>
  </si>
  <si>
    <t>138 English language &amp; literature: If Total staff costs are greater than zero then there should be an Other operating expenses value.</t>
  </si>
  <si>
    <t>QR.C24031.Table7.39</t>
  </si>
  <si>
    <t>139 History: If Total staff costs are greater than zero then there should be an Other operating expenses value.</t>
  </si>
  <si>
    <t>QR.C24031.Table7.40</t>
  </si>
  <si>
    <t>140 Classics: If Total staff costs are greater than zero then there should be an Other operating expenses value.</t>
  </si>
  <si>
    <t>QR.C24031.Table7.41</t>
  </si>
  <si>
    <t>141 Philosophy: If Total staff costs are greater than zero then there should be an Other operating expenses value.</t>
  </si>
  <si>
    <t>QR.C24031.Table7.42</t>
  </si>
  <si>
    <t>142 Theology &amp; religious studies: If Total staff costs are greater than zero then there should be an Other operating expenses value.</t>
  </si>
  <si>
    <t>QR.C24031.Table7.43</t>
  </si>
  <si>
    <t>143 Art &amp; design: If Total staff costs are greater than zero then there should be an Other operating expenses value.</t>
  </si>
  <si>
    <t>QR.C24031.Table7.44</t>
  </si>
  <si>
    <t>144 Music, dance, drama &amp; performing arts: If Total staff costs are greater than zero then there should be an Other operating expenses value.</t>
  </si>
  <si>
    <t>QR.C24031.Table7.45</t>
  </si>
  <si>
    <t>145 Media studies: If Total staff costs are greater than zero then there should be an Other operating expenses value.</t>
  </si>
  <si>
    <t>QR.C24031.Table7.46</t>
  </si>
  <si>
    <t>A pension cost adjustment value for other operating expenses has been returned. Is this genuine?</t>
  </si>
  <si>
    <t>QR.C24031.Table7.47</t>
  </si>
  <si>
    <t>Other expenditure: Other is a substantial amount of the Total expenditure, please check what has been included here. Should it be allocated elsewhere?</t>
  </si>
  <si>
    <t>QR.C24031.Table7.53</t>
  </si>
  <si>
    <t>Total expenditure for Head 3bi National Bursaries + Head 3bii Provider specific bursaries and scholarships should not be zero.</t>
  </si>
  <si>
    <t>QR.C24031.Table7.70</t>
  </si>
  <si>
    <t>A value is expected to be returned for Head 3bii ‘203 General education expenditure, Provider specific (including departmental) bursaries and scholarships’.</t>
  </si>
  <si>
    <t>QR.C24031.Table8.1</t>
  </si>
  <si>
    <t>Total actual spend for Residences operations: Buildings should be greater than or equal to zero.</t>
  </si>
  <si>
    <t>QR.C24031.Table8.2</t>
  </si>
  <si>
    <t>Total actual spend for Residences operations: Equipment should be greater than or equal to zero.</t>
  </si>
  <si>
    <t>QR.C24031.Table8.3</t>
  </si>
  <si>
    <t>Total actual spend for Catering operations: Buildings should be greater than or equal to zero.</t>
  </si>
  <si>
    <t>QR.C24031.Table8.4</t>
  </si>
  <si>
    <t>Total actual spend for Catering operations: Equipment should be greater than or equal to zero.</t>
  </si>
  <si>
    <t>QR.C24031.Table8.5</t>
  </si>
  <si>
    <t>Total actual spend for Other operations: Buildings should be greater than or equal to zero.</t>
  </si>
  <si>
    <t>QR.C24031.Table8.6</t>
  </si>
  <si>
    <t>Total actual spend for Other operations: Equipment should be greater than or equal to zero.</t>
  </si>
  <si>
    <t>QR.C24031.Table8.7</t>
  </si>
  <si>
    <t>Total capital expenditure Total actual spend should be greater than or equal to zero.</t>
  </si>
  <si>
    <t>QR.C24031.Table8.8</t>
  </si>
  <si>
    <t>All monies must be entered rounded to the nearest £1,000 (entering more than £400,000 signifies wrong degree of accuracy).</t>
  </si>
  <si>
    <t>QR.C24031.Table8.9</t>
  </si>
  <si>
    <t>Residences Funding body grants value has been returned. Is this genuine?</t>
  </si>
  <si>
    <t>QR.C24031.Table8.10</t>
  </si>
  <si>
    <t>Catering Funding body grants value has been returned. Is this genuine?</t>
  </si>
  <si>
    <t>QR.C24031.Table8.12</t>
  </si>
  <si>
    <t>Total capital expenditure from Funding body grants is expected to contain a value because Capital grants recognised in the year - equipment/estates is identified in Table_6_Wales.</t>
  </si>
  <si>
    <t>QR.C24031.Table8.13</t>
  </si>
  <si>
    <t>Total capital expenditure from Funding body grants is expected to contain a value because Capital grants recognised in the year is identified in Table_6_Scotland.</t>
  </si>
  <si>
    <t>QR.C24031.Table8.14</t>
  </si>
  <si>
    <t>Total capital expenditure from Funding body grants is expected to contain a value because Capital grants recognised in the year is identified in Table_6_N_Ireland.</t>
  </si>
  <si>
    <t>QR.C24031.Table8.15</t>
  </si>
  <si>
    <t>Total capital expenditure from Loans is expected to contain a value because Cash flows from financing activities - New secured loans and New unsecured loans is identified under cash flow in Table_3_UK.</t>
  </si>
  <si>
    <t>QR.C24031.Table9.1</t>
  </si>
  <si>
    <t>Please complete the description for all items disclosed (current year).</t>
  </si>
  <si>
    <t>QR.C24031.Table9.2</t>
  </si>
  <si>
    <t xml:space="preserve">The disclosed item description (column K) must be blank if a value is not entered in column H (current year). </t>
  </si>
  <si>
    <t>QR.C24031.Table9.3</t>
  </si>
  <si>
    <t>Please complete the description for all items disclosed (restated year).</t>
  </si>
  <si>
    <t>QR.C24031.Table9.4</t>
  </si>
  <si>
    <t xml:space="preserve">The disclosed item description (column L) must be blank if a value is not entered in column I (restated year). </t>
  </si>
  <si>
    <t>QR.C24031.Table9.5</t>
  </si>
  <si>
    <t>There is a difference of values between the restated figures on Table 9.</t>
  </si>
  <si>
    <t>QR.C24031.Table10.1</t>
  </si>
  <si>
    <t>If Total remuneration is greater than zero then there should be a start date for the associated Head of provider.</t>
  </si>
  <si>
    <t>QR.C24031.Table10.2</t>
  </si>
  <si>
    <t>If Total remuneration is greater than zero for a previous Head of provider then there should also be an end date.</t>
  </si>
  <si>
    <t>QR.C24031.Table10.3</t>
  </si>
  <si>
    <t>Current head of provider's end date should be blank unless greater than or equal to 31 July 2025.</t>
  </si>
  <si>
    <t>QR.C24031.Table10.4</t>
  </si>
  <si>
    <t>Current head of provider's salary should be greater than zero.</t>
  </si>
  <si>
    <t>QR.C24031.Table10.5</t>
  </si>
  <si>
    <t>If a head of provider's start date is after 31 July 2024 then Total remuneration for year ended 31 July 2024 should be zero.</t>
  </si>
  <si>
    <t>QR.C24031.Table10.6</t>
  </si>
  <si>
    <t>If a previous heads of provider's end date is before 31 July 2024 then Total remuneration for year ended 31 July 2025 should be zero.</t>
  </si>
  <si>
    <t>QR.C24031.Table10.7</t>
  </si>
  <si>
    <t>If it has been confirmed that university accommodation has been given a nil taxable value then there should be a value given for Living accommodation.</t>
  </si>
  <si>
    <t>QR.C24031.Table10.8</t>
  </si>
  <si>
    <t>Head of provider's basic salary divided by the median pay (salary) should not be zero (current head of provider).</t>
  </si>
  <si>
    <t>QR.C24031.Table10.9</t>
  </si>
  <si>
    <t>Head of provider's total remuneration divided by the median total remuneration should not be zero (current head of provider).</t>
  </si>
  <si>
    <t>QR.C24031.Table10.10</t>
  </si>
  <si>
    <t>Other taxable benefits: items must be specified in the text box if a value is entered.</t>
  </si>
  <si>
    <t>QR.C24031.Table10.11</t>
  </si>
  <si>
    <t>Other non-taxable benefits: items must be specified in the text box if a value is entered.</t>
  </si>
  <si>
    <t>QR.C24031.Table10.12</t>
  </si>
  <si>
    <t>Other remuneration: items must be specified in the text box if a value is entered.</t>
  </si>
  <si>
    <t>QR.C24031.Table10.14</t>
  </si>
  <si>
    <t>Head of provider's basic salary divided by the median pay (salary) should not be zero if Total Remuneration is greater than zero.</t>
  </si>
  <si>
    <t>QR.C24031.Table10.15</t>
  </si>
  <si>
    <t>Head of provider's total remuneration divided by the median total remuneration should not be zero if Total Remuneration is greater than zero.</t>
  </si>
  <si>
    <t>QR.C24031.Table11.6</t>
  </si>
  <si>
    <t>If provider is in Scotland then Total (Headcount) should be zero.</t>
  </si>
  <si>
    <t>QR.C24031.Table11.7</t>
  </si>
  <si>
    <t>Changes to pension provisions and pension adjustments (USS) plus Changes to pension provisions and pension adjustments (Other) should not be zero (current year).</t>
  </si>
  <si>
    <t>QR.C24031.Table11.8</t>
  </si>
  <si>
    <t>Salaries and wages of academic staff and non-academic staff should be greater than zero (current year).</t>
  </si>
  <si>
    <t>QR.C24031.Table11.9</t>
  </si>
  <si>
    <t>Salaries and wages of academic staff and non-academic staff should be greater than zero (restated year).</t>
  </si>
  <si>
    <t>QR.C24031.Table11.10</t>
  </si>
  <si>
    <t>Table_11_UK Head 1l Total staff costs should be equal to Table_7_UK Head 8 Total staff costs (current year).</t>
  </si>
  <si>
    <t>QR.C24031.Table11.11</t>
  </si>
  <si>
    <t>Table_11_UK Head 1l Total staff costs should be equal to Table_1_UK Head 2a Staff costs (restated year).</t>
  </si>
  <si>
    <t>QR.C24031.Table12.1</t>
  </si>
  <si>
    <t>Compensation for loss of office to the head of provider should be equal to Table_10_UK Compensation for loss of office.</t>
  </si>
  <si>
    <t>QR.C24031.Table12.2</t>
  </si>
  <si>
    <t>For the Year ended 31 July 2024, Compensation for loss of office to the head of provider should be equal to Table_10_UK Compensation for loss of office.</t>
  </si>
  <si>
    <t>QR.C24031.Table12.3</t>
  </si>
  <si>
    <t>Table_12_UK should not contain all zeros (current year).</t>
  </si>
  <si>
    <t>QR.C24031.Table12.4</t>
  </si>
  <si>
    <t>Loss of office at the provider: Total amount of compensation paid across the whole provider should be greater than zero.</t>
  </si>
  <si>
    <t>QR.C24031.Table12.7</t>
  </si>
  <si>
    <t>Where there is a value entered for Where the compensation includes benefits other than cash: estimated money value, then the nature of the benefit should be specified in the text box.</t>
  </si>
  <si>
    <t>QR.C24031.Table12.8</t>
  </si>
  <si>
    <t>Table_12_UK should not contain all zeros (restated year).</t>
  </si>
  <si>
    <t>QR.C24031.Table12.9</t>
  </si>
  <si>
    <t>Table_12_UK should contain all zeros if a nil return equals 'Yes' (current year).</t>
  </si>
  <si>
    <t>QR.C24031.Table12.10</t>
  </si>
  <si>
    <t>Table_12_UK should contain all zeros if a nil return equals 'Yes' (restated year).</t>
  </si>
  <si>
    <t>Table 1:</t>
  </si>
  <si>
    <t>Consolidated statement of comprehensive income and expenditure</t>
  </si>
  <si>
    <t>Last years figures have been populated below.</t>
  </si>
  <si>
    <t>Please restate any figures as required.</t>
  </si>
  <si>
    <t>These are not editable.</t>
  </si>
  <si>
    <t>Variance calculations</t>
  </si>
  <si>
    <t>Restated values</t>
  </si>
  <si>
    <t>This column will highlight below where there is a difference &gt;750k and a ratio &gt;2</t>
  </si>
  <si>
    <t>calculations</t>
  </si>
  <si>
    <t>Outstanding Queries</t>
  </si>
  <si>
    <t>£000s</t>
  </si>
  <si>
    <t>Ratio</t>
  </si>
  <si>
    <t>Please select explanations for any significant variance from the drop down list below:</t>
  </si>
  <si>
    <t>hide these columns</t>
  </si>
  <si>
    <t>Income</t>
  </si>
  <si>
    <t>Explanation</t>
  </si>
  <si>
    <t>1a</t>
  </si>
  <si>
    <t>Tuition fees and education contracts</t>
  </si>
  <si>
    <t>1b</t>
  </si>
  <si>
    <t>Funding body grants</t>
  </si>
  <si>
    <t>1c</t>
  </si>
  <si>
    <t>Research grants and contracts</t>
  </si>
  <si>
    <t>1d</t>
  </si>
  <si>
    <t>Other income</t>
  </si>
  <si>
    <t>1e</t>
  </si>
  <si>
    <t>Investment income</t>
  </si>
  <si>
    <t>1f</t>
  </si>
  <si>
    <t>Donations and endowments</t>
  </si>
  <si>
    <t>1g</t>
  </si>
  <si>
    <t>Total income</t>
  </si>
  <si>
    <t>Expenditure</t>
  </si>
  <si>
    <t>2a</t>
  </si>
  <si>
    <t>Staff costs</t>
  </si>
  <si>
    <t>2b</t>
  </si>
  <si>
    <t>Restructuring costs</t>
  </si>
  <si>
    <t>2c</t>
  </si>
  <si>
    <t>Other operating expenses</t>
  </si>
  <si>
    <t>2d</t>
  </si>
  <si>
    <t>Depreciation and amortisation</t>
  </si>
  <si>
    <t>2e</t>
  </si>
  <si>
    <t>Interest and other finance costs</t>
  </si>
  <si>
    <t>2f</t>
  </si>
  <si>
    <t>Total expenditure</t>
  </si>
  <si>
    <t>Surplus/(deficit) before other gains/losses and share of surplus/(deficit) in joint ventures and associates</t>
  </si>
  <si>
    <t>Gain/(loss) on disposal of tangible assets</t>
  </si>
  <si>
    <t>Gain/(loss) on investment property</t>
  </si>
  <si>
    <t>Gain/(loss) on investments</t>
  </si>
  <si>
    <t>Share of operating surplus/(deficit) in joint venture(s)</t>
  </si>
  <si>
    <t>Share of operating surplus/(deficit) in associate(s)</t>
  </si>
  <si>
    <t>Surplus/(deficit) before tax</t>
  </si>
  <si>
    <t>Taxation</t>
  </si>
  <si>
    <t>Surplus/(deficit) for the year</t>
  </si>
  <si>
    <t xml:space="preserve">Unrealised surplus on revaluation of land and buildings </t>
  </si>
  <si>
    <t>Actuarial gain/(loss) in respect of pension schemes</t>
  </si>
  <si>
    <t>Change in fair value of hedging financial instrument(s) plus foreign currency translation</t>
  </si>
  <si>
    <t>Where 15 'Miscellaneous types of Other comprehensive income' has been completed, please detail below what items are included in this:</t>
  </si>
  <si>
    <t>Miscellaneous types of other comprehensive income</t>
  </si>
  <si>
    <t xml:space="preserve">Total comprehensive income/(expenditure) for the year </t>
  </si>
  <si>
    <t>Total comprehensive income/(expenditure) for the year represented by:</t>
  </si>
  <si>
    <t>17a</t>
  </si>
  <si>
    <t>Endowment comprehensive income for the year</t>
  </si>
  <si>
    <t>17b</t>
  </si>
  <si>
    <t>Restricted comprehensive income for the year</t>
  </si>
  <si>
    <t>17c</t>
  </si>
  <si>
    <t xml:space="preserve">Unrestricted comprehensive income for the year </t>
  </si>
  <si>
    <t>17d</t>
  </si>
  <si>
    <t xml:space="preserve">Revaluation reserve comprehensive income for the year </t>
  </si>
  <si>
    <t>17e</t>
  </si>
  <si>
    <t>Attributable to the University</t>
  </si>
  <si>
    <t>17f</t>
  </si>
  <si>
    <t>Attributable to the non-controlling interest</t>
  </si>
  <si>
    <t>17g</t>
  </si>
  <si>
    <t>Total</t>
  </si>
  <si>
    <t>Surplus/(deficit) for the year attributable to:</t>
  </si>
  <si>
    <t>18a</t>
  </si>
  <si>
    <t>Non-controlling interest</t>
  </si>
  <si>
    <t>18b</t>
  </si>
  <si>
    <t>University</t>
  </si>
  <si>
    <t>Where 19 has been completed, please detail below what items are included in this:</t>
  </si>
  <si>
    <t>Please indicate whether any material items have been disclosed separately on the face of the Statement of comprehensive income and expenditure in your financial statements: (Yes/No)</t>
  </si>
  <si>
    <t>All items of income and expenditure relate to continuing activities</t>
  </si>
  <si>
    <t>Table 2:</t>
  </si>
  <si>
    <t>Consolidated statement of financial position</t>
  </si>
  <si>
    <t>Outstanding queries</t>
  </si>
  <si>
    <t>Non-current assets</t>
  </si>
  <si>
    <t>Intangible assets</t>
  </si>
  <si>
    <t>Goodwill</t>
  </si>
  <si>
    <t>Negative goodwill</t>
  </si>
  <si>
    <t>Net amount of goodwill and negative goodwill</t>
  </si>
  <si>
    <t xml:space="preserve">Tangible assets </t>
  </si>
  <si>
    <t>Heritage assets</t>
  </si>
  <si>
    <t>Investments</t>
  </si>
  <si>
    <t>1h</t>
  </si>
  <si>
    <t>Investment in subsidiaries</t>
  </si>
  <si>
    <t>1i</t>
  </si>
  <si>
    <t>Investment in joint venture(s)</t>
  </si>
  <si>
    <t>1j</t>
  </si>
  <si>
    <t>Investment in associate(s)</t>
  </si>
  <si>
    <t>1k</t>
  </si>
  <si>
    <t>Total non-current assets</t>
  </si>
  <si>
    <t>Current assets</t>
  </si>
  <si>
    <t>Stock</t>
  </si>
  <si>
    <t>Trade and other receivables (excluding loans to directors)</t>
  </si>
  <si>
    <t xml:space="preserve">Cash and cash equivalents </t>
  </si>
  <si>
    <t>Loans to directors</t>
  </si>
  <si>
    <t>Accrued course fees</t>
  </si>
  <si>
    <t>2g</t>
  </si>
  <si>
    <t>Other (e.g. assets for resale)</t>
  </si>
  <si>
    <t>2h</t>
  </si>
  <si>
    <t>Total current assets</t>
  </si>
  <si>
    <t>Creditors - amounts falling due within one year</t>
  </si>
  <si>
    <t xml:space="preserve">Bank overdrafts </t>
  </si>
  <si>
    <t>3b</t>
  </si>
  <si>
    <t>Bank loans and external borrowing</t>
  </si>
  <si>
    <t>3c</t>
  </si>
  <si>
    <t>Obligations under finance leases and service concessions</t>
  </si>
  <si>
    <t>3d</t>
  </si>
  <si>
    <t>Deferred course fees</t>
  </si>
  <si>
    <t>3e</t>
  </si>
  <si>
    <t>Tax and social security costs</t>
  </si>
  <si>
    <t>3f</t>
  </si>
  <si>
    <t>Loans repayable to funding council (including financial transactions)</t>
  </si>
  <si>
    <t>3g</t>
  </si>
  <si>
    <t>Director, inter-company and related party loans</t>
  </si>
  <si>
    <t>3h</t>
  </si>
  <si>
    <t>Other (including grant claw back)</t>
  </si>
  <si>
    <t>3i</t>
  </si>
  <si>
    <t>Total creditors (amounts falling due within one year)</t>
  </si>
  <si>
    <t>Share of net current assets/(liabilities) in associate</t>
  </si>
  <si>
    <t>Net current assets/(liabilities)</t>
  </si>
  <si>
    <t>Total assets less current liabilities</t>
  </si>
  <si>
    <t>Creditors: amounts falling due after more than one year</t>
  </si>
  <si>
    <t>7a</t>
  </si>
  <si>
    <t>7b</t>
  </si>
  <si>
    <t>7c</t>
  </si>
  <si>
    <t>7d</t>
  </si>
  <si>
    <t>7e</t>
  </si>
  <si>
    <t>7f</t>
  </si>
  <si>
    <t>Total creditors (amounts falling due after more than one year)</t>
  </si>
  <si>
    <t>Provisions</t>
  </si>
  <si>
    <t>8a</t>
  </si>
  <si>
    <t>Pension provisions</t>
  </si>
  <si>
    <t>8b</t>
  </si>
  <si>
    <t>Other provisions</t>
  </si>
  <si>
    <t>8c</t>
  </si>
  <si>
    <t>Total provisions</t>
  </si>
  <si>
    <t>Total net assets/(liabilities)</t>
  </si>
  <si>
    <t>Restricted reserves</t>
  </si>
  <si>
    <t>10a</t>
  </si>
  <si>
    <t>Income and expenditure reserve - endowment reserve</t>
  </si>
  <si>
    <t>10b</t>
  </si>
  <si>
    <t>Income and expenditure reserve - restricted reserve</t>
  </si>
  <si>
    <t>Unrestricted reserves</t>
  </si>
  <si>
    <t>11a</t>
  </si>
  <si>
    <t xml:space="preserve">Income and expenditure reserve - unrestricted </t>
  </si>
  <si>
    <t>11b</t>
  </si>
  <si>
    <t>Revaluation reserve</t>
  </si>
  <si>
    <t>Total restricted and unrestricted reserves</t>
  </si>
  <si>
    <t>Total reserves</t>
  </si>
  <si>
    <t>Share capital (including share premium)</t>
  </si>
  <si>
    <t>Table 2_S:</t>
  </si>
  <si>
    <t>Consolidated statement of financial position - Scotland</t>
  </si>
  <si>
    <t>Funds, from disposal of fixed assets, held for future fixed asset acquisitions</t>
  </si>
  <si>
    <t>Funds held for third parties</t>
  </si>
  <si>
    <t>Student support funds</t>
  </si>
  <si>
    <t>Other restricted funds</t>
  </si>
  <si>
    <t>Unrestricted funds</t>
  </si>
  <si>
    <t>Total investments</t>
  </si>
  <si>
    <t>Unrestricted cash</t>
  </si>
  <si>
    <t>Total cash and cash equivalents</t>
  </si>
  <si>
    <t>Additional information collection for Scottish providers (memorandum only) :</t>
  </si>
  <si>
    <t>UK government COVID-19 loan support</t>
  </si>
  <si>
    <t>Creditors - amounts falling due after more than one year</t>
  </si>
  <si>
    <t>4a</t>
  </si>
  <si>
    <t>Table 3:</t>
  </si>
  <si>
    <t>Consolidated statement of cash flows</t>
  </si>
  <si>
    <t>Cash flow from operating activities</t>
  </si>
  <si>
    <t>Surplus/(deficit) for the year before tax</t>
  </si>
  <si>
    <t>Adjustment for non-cash items</t>
  </si>
  <si>
    <t>Depreciation</t>
  </si>
  <si>
    <t>Amortisation of intangibles</t>
  </si>
  <si>
    <t xml:space="preserve">Release of negative goodwill from asset acquisition </t>
  </si>
  <si>
    <t>Amortisation of goodwill</t>
  </si>
  <si>
    <t>Loss/(gain) on investments and investment property</t>
  </si>
  <si>
    <t>Decrease/(increase) in stock</t>
  </si>
  <si>
    <t>Decrease/(increase) in debtors</t>
  </si>
  <si>
    <t>Increase/(decrease) in creditors</t>
  </si>
  <si>
    <t>2i</t>
  </si>
  <si>
    <t>Increase/(decrease) in pension provisions</t>
  </si>
  <si>
    <t>2j</t>
  </si>
  <si>
    <t>Increase/(decrease) in other provisions</t>
  </si>
  <si>
    <t>2k</t>
  </si>
  <si>
    <t>Receipt of donated equipment</t>
  </si>
  <si>
    <t>2l</t>
  </si>
  <si>
    <t>Share of operating surplus/(deficit) in joint venture</t>
  </si>
  <si>
    <t>2m</t>
  </si>
  <si>
    <t>Share of operating surplus/(deficit) in associate</t>
  </si>
  <si>
    <t>Where 2n 'Other' has been completed, please detail below what items are included in this:</t>
  </si>
  <si>
    <t>2n</t>
  </si>
  <si>
    <t>Adjustment for investing or financing activities</t>
  </si>
  <si>
    <t>Interest payable</t>
  </si>
  <si>
    <t>Endowment income</t>
  </si>
  <si>
    <t>Loss/(gain) on the sale of tangible and intangible assets</t>
  </si>
  <si>
    <t>Capital grant income</t>
  </si>
  <si>
    <t>Other adjustment for investing or financing activities</t>
  </si>
  <si>
    <t>Cash flows from operating activities before tax</t>
  </si>
  <si>
    <t>Taxation paid</t>
  </si>
  <si>
    <t>Net cash inflow from operating activities</t>
  </si>
  <si>
    <t>Cash flows from investing activities</t>
  </si>
  <si>
    <t>Proceeds from sales of tangible assets</t>
  </si>
  <si>
    <t>Proceeds from sales of intangible assets</t>
  </si>
  <si>
    <t>Capital grants receipts</t>
  </si>
  <si>
    <t>Non-current asset investment disposal</t>
  </si>
  <si>
    <t>Withdrawal of deposits</t>
  </si>
  <si>
    <t>7g</t>
  </si>
  <si>
    <t>Payments made to acquire tangible assets</t>
  </si>
  <si>
    <t>7h</t>
  </si>
  <si>
    <t>Payments made to acquire intangible assets</t>
  </si>
  <si>
    <t>7i</t>
  </si>
  <si>
    <t>Non-current investment acquisitions</t>
  </si>
  <si>
    <t>7j</t>
  </si>
  <si>
    <t>New deposits</t>
  </si>
  <si>
    <t>Where 7k 'Other' has been completed, please detail below what items are included in this:</t>
  </si>
  <si>
    <t>7k</t>
  </si>
  <si>
    <t>7l</t>
  </si>
  <si>
    <t>Total cash flows from investing activities</t>
  </si>
  <si>
    <t>Cash flows from financing activities</t>
  </si>
  <si>
    <t>Interest paid</t>
  </si>
  <si>
    <t>Interest element of finance lease and service concession payments</t>
  </si>
  <si>
    <t>New endowments received</t>
  </si>
  <si>
    <t>8d</t>
  </si>
  <si>
    <t>Endowment payments</t>
  </si>
  <si>
    <t>8e</t>
  </si>
  <si>
    <t>New secured loans</t>
  </si>
  <si>
    <t>8f</t>
  </si>
  <si>
    <t>New unsecured loans</t>
  </si>
  <si>
    <t>8g</t>
  </si>
  <si>
    <t>Repayments of amounts borrowed</t>
  </si>
  <si>
    <t>8h</t>
  </si>
  <si>
    <t>Capital element of finance lease and service concession payments</t>
  </si>
  <si>
    <t>8i</t>
  </si>
  <si>
    <t>Dividends paid</t>
  </si>
  <si>
    <t>Where 8j 'Other' has been completed, please detail below what items are included in this:</t>
  </si>
  <si>
    <t>8j</t>
  </si>
  <si>
    <t>8k</t>
  </si>
  <si>
    <t>Total cash flows from financing activities</t>
  </si>
  <si>
    <t>(Decrease)/Increase in cash and cash equivalents in the year</t>
  </si>
  <si>
    <t>Cash and cash equivalents at beginning of the year</t>
  </si>
  <si>
    <t>Exchange gains/(losses) on cash and cash equivalents</t>
  </si>
  <si>
    <t>Scotland. New Head (Check implementation is correct)</t>
  </si>
  <si>
    <t>Cash and cash equivalents at the end of the year</t>
  </si>
  <si>
    <t>Table 4:</t>
  </si>
  <si>
    <t>Research grants and contracts - breakdown by source of income and HESA cost centre</t>
  </si>
  <si>
    <t>Biotechnology and Biological Sciences Research Council</t>
  </si>
  <si>
    <t>Medical Research Council</t>
  </si>
  <si>
    <t>Natural Environment Research Council</t>
  </si>
  <si>
    <t>Engineering and Physical Sciences Research Council</t>
  </si>
  <si>
    <t>Economic and Social Research Council</t>
  </si>
  <si>
    <t>Arts and Humanities Research Council</t>
  </si>
  <si>
    <t>Science and Technology Facilities Council</t>
  </si>
  <si>
    <t>UK Research and Innovation</t>
  </si>
  <si>
    <t>Total Research Councils</t>
  </si>
  <si>
    <t>UK-based charities (open competitive process)</t>
  </si>
  <si>
    <t>UK-based charities (other)</t>
  </si>
  <si>
    <t>UK central government bodies/local authorities, health and hospital authorities</t>
  </si>
  <si>
    <t>UK central government tax credits for research and development expenditure</t>
  </si>
  <si>
    <t>UK industry, commerce and public corporations</t>
  </si>
  <si>
    <t>UK other sources</t>
  </si>
  <si>
    <t>EU government bodies</t>
  </si>
  <si>
    <t>EU-based charities (open competitive process)</t>
  </si>
  <si>
    <t>EU industry, commerce and public corporations</t>
  </si>
  <si>
    <t>Academic departments</t>
  </si>
  <si>
    <t>101 Clinical medicine</t>
  </si>
  <si>
    <t>102 Clinical dentistry</t>
  </si>
  <si>
    <t>103 Nursing &amp; allied health professions</t>
  </si>
  <si>
    <t>104 Psychology &amp; behavioural sciences</t>
  </si>
  <si>
    <t>105 Health &amp; community studies</t>
  </si>
  <si>
    <t>106 Anatomy &amp; physiology</t>
  </si>
  <si>
    <t>107 Pharmacy &amp; pharmacology</t>
  </si>
  <si>
    <t>108 Sports science &amp; leisure studies</t>
  </si>
  <si>
    <t>109 Veterinary science</t>
  </si>
  <si>
    <t>110 Agriculture, forestry &amp; food science</t>
  </si>
  <si>
    <t>111 Earth, marine &amp; environmental sciences</t>
  </si>
  <si>
    <t>1l</t>
  </si>
  <si>
    <t>112 Biosciences</t>
  </si>
  <si>
    <t>1m</t>
  </si>
  <si>
    <t>113 Chemistry</t>
  </si>
  <si>
    <t>1n</t>
  </si>
  <si>
    <t>114 Physics</t>
  </si>
  <si>
    <t>1o</t>
  </si>
  <si>
    <t>115 General engineering</t>
  </si>
  <si>
    <t>1p</t>
  </si>
  <si>
    <t>116 Chemical engineering</t>
  </si>
  <si>
    <t>1q</t>
  </si>
  <si>
    <t>117 Mineral, metallurgy &amp; materials engineering</t>
  </si>
  <si>
    <t>1r</t>
  </si>
  <si>
    <t>118 Civil engineering</t>
  </si>
  <si>
    <t>1s</t>
  </si>
  <si>
    <t>119 Electrical, electronic &amp; computer engineering</t>
  </si>
  <si>
    <t>1t</t>
  </si>
  <si>
    <t>120 Mechanical, aero &amp; production engineering</t>
  </si>
  <si>
    <t>1u</t>
  </si>
  <si>
    <t>121 IT, systems sciences &amp; computer software engineering</t>
  </si>
  <si>
    <t>1v</t>
  </si>
  <si>
    <t>122 Mathematics</t>
  </si>
  <si>
    <t>1w</t>
  </si>
  <si>
    <t>123 Architecture, built environment &amp; planning</t>
  </si>
  <si>
    <t>1x</t>
  </si>
  <si>
    <t>124 Geography &amp; environmental studies</t>
  </si>
  <si>
    <t>1y</t>
  </si>
  <si>
    <t>125 Area studies</t>
  </si>
  <si>
    <t>1z</t>
  </si>
  <si>
    <t>126 Archaeology</t>
  </si>
  <si>
    <t>1aa</t>
  </si>
  <si>
    <t>127 Anthropology &amp; development studies</t>
  </si>
  <si>
    <t>1ab</t>
  </si>
  <si>
    <t>128 Politics &amp; international studies</t>
  </si>
  <si>
    <t>1ac</t>
  </si>
  <si>
    <t>129 Economics &amp; econometrics</t>
  </si>
  <si>
    <t>1ad</t>
  </si>
  <si>
    <t>130 Law</t>
  </si>
  <si>
    <t>1ae</t>
  </si>
  <si>
    <t>131 Social work &amp; social policy</t>
  </si>
  <si>
    <t>1af</t>
  </si>
  <si>
    <t>132 Sociology</t>
  </si>
  <si>
    <t>1ag</t>
  </si>
  <si>
    <t>133 Business &amp; management studies</t>
  </si>
  <si>
    <t>1ah</t>
  </si>
  <si>
    <t>134 Catering &amp; hospitality management</t>
  </si>
  <si>
    <t>1ai</t>
  </si>
  <si>
    <t>135 Education</t>
  </si>
  <si>
    <t>1aj</t>
  </si>
  <si>
    <t>136 Continuing education</t>
  </si>
  <si>
    <t>1ak</t>
  </si>
  <si>
    <t>137 Modern languages</t>
  </si>
  <si>
    <t>1al</t>
  </si>
  <si>
    <t>138 English language &amp; literature</t>
  </si>
  <si>
    <t>1am</t>
  </si>
  <si>
    <t>139 History</t>
  </si>
  <si>
    <t>1an</t>
  </si>
  <si>
    <t>140 Classics</t>
  </si>
  <si>
    <t>1ao</t>
  </si>
  <si>
    <t>141 Philosophy</t>
  </si>
  <si>
    <t>1ap</t>
  </si>
  <si>
    <t>142 Theology &amp; religious studies</t>
  </si>
  <si>
    <t>1aq</t>
  </si>
  <si>
    <t>143 Art &amp; design</t>
  </si>
  <si>
    <t>1ar</t>
  </si>
  <si>
    <t>144 Music, dance, drama &amp; performing arts</t>
  </si>
  <si>
    <t>1as</t>
  </si>
  <si>
    <t>145 Media studies</t>
  </si>
  <si>
    <t>1at</t>
  </si>
  <si>
    <t>Total academic departments</t>
  </si>
  <si>
    <t>201 Total academic services</t>
  </si>
  <si>
    <t>Administration &amp; central services</t>
  </si>
  <si>
    <t>202 Central administration &amp; services</t>
  </si>
  <si>
    <t>203 General educational expenditure</t>
  </si>
  <si>
    <t>204 Staff &amp; student facilities</t>
  </si>
  <si>
    <t>Total administration &amp; central services</t>
  </si>
  <si>
    <t>207 Total research grants and contracts</t>
  </si>
  <si>
    <t>Co-investment from external sources on funding council-funded projects (included in Heads 1 to 4 above)</t>
  </si>
  <si>
    <t>Research income-in-kind (included in Heads 1 to 4 above)</t>
  </si>
  <si>
    <t>Table 5:</t>
  </si>
  <si>
    <t>Tuition fees and education contracts analysed by domicile, mode, level and source</t>
  </si>
  <si>
    <t xml:space="preserve">
Please restate any figures as required.</t>
  </si>
  <si>
    <t>Source of fee</t>
  </si>
  <si>
    <t>Student Loans Company / Local Education Authorities / Student Awards Agency Scotland / Department for the Economy (NI)</t>
  </si>
  <si>
    <t>Department of Health and Social Care / Local Education and Training Board / Scottish Health Directorate/ Health Education and Improvement Wales</t>
  </si>
  <si>
    <t>SLC/LEAs/ SAAS/DfE(NI)</t>
  </si>
  <si>
    <t>DH/LETB/Scottish Health Directorate/WEDS</t>
  </si>
  <si>
    <t>This column will highlight below where there is a difference in the Total&gt;750k and a ratio &gt;2</t>
  </si>
  <si>
    <t>HE course fees</t>
  </si>
  <si>
    <t>(25 maximum)</t>
  </si>
  <si>
    <t>i</t>
  </si>
  <si>
    <t>Full-time undergraduate</t>
  </si>
  <si>
    <t>ii</t>
  </si>
  <si>
    <t>Full-time PGCE</t>
  </si>
  <si>
    <t>iii</t>
  </si>
  <si>
    <t>Full-time postgraduate taught (excl. PGCE)</t>
  </si>
  <si>
    <t>iv</t>
  </si>
  <si>
    <t>Full-time postgraduate research</t>
  </si>
  <si>
    <t>v</t>
  </si>
  <si>
    <t>Part-time undergraduate</t>
  </si>
  <si>
    <t>vi</t>
  </si>
  <si>
    <t>Part-time postgraduate taught</t>
  </si>
  <si>
    <t>vii</t>
  </si>
  <si>
    <t>Part-time postgraduate research</t>
  </si>
  <si>
    <t>viii</t>
  </si>
  <si>
    <t>Total Home fees</t>
  </si>
  <si>
    <t>Total Rest of UK fees</t>
  </si>
  <si>
    <t>UK domicile students</t>
  </si>
  <si>
    <t>Total UK fees</t>
  </si>
  <si>
    <t>EU domicile students</t>
  </si>
  <si>
    <t>Total EU fees</t>
  </si>
  <si>
    <t>Total UK and EU fees</t>
  </si>
  <si>
    <t>Non-EU domicile students</t>
  </si>
  <si>
    <t>//////////</t>
  </si>
  <si>
    <t>Total Non-EU fees</t>
  </si>
  <si>
    <t>Total HE course fees</t>
  </si>
  <si>
    <t>Non-credit bearing course fees</t>
  </si>
  <si>
    <t>FE course fees</t>
  </si>
  <si>
    <t>Research training support grants</t>
  </si>
  <si>
    <t>Income for general research studentships from charities (open competitive process)</t>
  </si>
  <si>
    <t>4b</t>
  </si>
  <si>
    <t>Other research training support grants</t>
  </si>
  <si>
    <t>4c</t>
  </si>
  <si>
    <t>Total research training support grants</t>
  </si>
  <si>
    <t>Total tuition fees and education contracts</t>
  </si>
  <si>
    <t>Transnational education in EU included in the above</t>
  </si>
  <si>
    <t>6b</t>
  </si>
  <si>
    <t>Transnational education overseas included in the above</t>
  </si>
  <si>
    <t>Table 6:</t>
  </si>
  <si>
    <t>Income analysed by source</t>
  </si>
  <si>
    <t>Biotechnology and Biological Sciences Research Council (BBSRC)</t>
  </si>
  <si>
    <t>Medical Research Council (MRC)</t>
  </si>
  <si>
    <t>Natural Environment Research Council (NERC)</t>
  </si>
  <si>
    <t>Engineering and Physical Sciences Research Council (EPSRC)</t>
  </si>
  <si>
    <t>Economic and Social Research Council (ESRC)</t>
  </si>
  <si>
    <t>Arts and Humanities Research Council (AHRC)</t>
  </si>
  <si>
    <t>Science and Technology Facilities Council (STFC)</t>
  </si>
  <si>
    <t>UK Research and Innovation (UKRI)</t>
  </si>
  <si>
    <t>ix</t>
  </si>
  <si>
    <t>x</t>
  </si>
  <si>
    <t>Total UK sources</t>
  </si>
  <si>
    <t>3j</t>
  </si>
  <si>
    <t>3k</t>
  </si>
  <si>
    <t>Total EU sources (excluding UK)</t>
  </si>
  <si>
    <t>3p</t>
  </si>
  <si>
    <t>3q</t>
  </si>
  <si>
    <t>Total non-EU sources</t>
  </si>
  <si>
    <t>3r</t>
  </si>
  <si>
    <t>Total research grants and contracts</t>
  </si>
  <si>
    <t>Other services rendered</t>
  </si>
  <si>
    <t>UK public sources (DSIT Research Councils, UK central government/local authorities, health and hospital authorities)</t>
  </si>
  <si>
    <t>EU sources</t>
  </si>
  <si>
    <t>Total other services rendered</t>
  </si>
  <si>
    <t xml:space="preserve">Residences, conferences and catering operations </t>
  </si>
  <si>
    <t>Residences operations</t>
  </si>
  <si>
    <t>Catering and Conference operations</t>
  </si>
  <si>
    <t>Total residences and catering operations (including conferences)</t>
  </si>
  <si>
    <t>Grants from local authorities</t>
  </si>
  <si>
    <t>4d</t>
  </si>
  <si>
    <t>Income from health and hospital authorities (excluding teaching contracts for student provision)</t>
  </si>
  <si>
    <t>4e</t>
  </si>
  <si>
    <t>Other EU grant income</t>
  </si>
  <si>
    <t>4f</t>
  </si>
  <si>
    <t>Capital grants recognised in the year</t>
  </si>
  <si>
    <t>4g</t>
  </si>
  <si>
    <t>Income from intellectual property rights</t>
  </si>
  <si>
    <t>4h</t>
  </si>
  <si>
    <t>Other operating income</t>
  </si>
  <si>
    <t>4i</t>
  </si>
  <si>
    <t>Total other income</t>
  </si>
  <si>
    <t>Total income before donations and endowments</t>
  </si>
  <si>
    <t>New endowments</t>
  </si>
  <si>
    <t>Donations with restrictions</t>
  </si>
  <si>
    <t>Unrestricted donations</t>
  </si>
  <si>
    <t>Total donations and endowments</t>
  </si>
  <si>
    <t>Table 6_W:</t>
  </si>
  <si>
    <t>Funding body grants - Wales</t>
  </si>
  <si>
    <t>Providers in Wales only:</t>
  </si>
  <si>
    <t>Recurrent Teaching grant - full-time UG provision</t>
  </si>
  <si>
    <t>Recurrent Teaching grant - full-time PG provision</t>
  </si>
  <si>
    <t>Recurrent Teaching grant - part-time UG provision</t>
  </si>
  <si>
    <t>Recurrent Teaching grant - part-time PG provision</t>
  </si>
  <si>
    <t>Recurrent QR, PGR and RWIF funding</t>
  </si>
  <si>
    <t>Recurrent equalities, well-being and employability funding</t>
  </si>
  <si>
    <t>Other grants from UK funding bodies</t>
  </si>
  <si>
    <t>Capital grants from UK funding bodies recognised in the year</t>
  </si>
  <si>
    <t>SHELL and other Welsh Government grants</t>
  </si>
  <si>
    <t>Total Welsh funding body grants receivable in the year</t>
  </si>
  <si>
    <t>Table 6_S:</t>
  </si>
  <si>
    <t>Funding body grants and other income - Scotland</t>
  </si>
  <si>
    <t>Providers in Scotland only:</t>
  </si>
  <si>
    <t>General fund teaching</t>
  </si>
  <si>
    <t>General fund research and knowledge exchange</t>
  </si>
  <si>
    <t>Ring-fenced grants</t>
  </si>
  <si>
    <t>Strategic funds</t>
  </si>
  <si>
    <t>SFC capital maintenance grant</t>
  </si>
  <si>
    <t>Grants for FE provision</t>
  </si>
  <si>
    <t>Total funding body grants</t>
  </si>
  <si>
    <t>Coronavirus job retention scheme funding</t>
  </si>
  <si>
    <t>City deal funding</t>
  </si>
  <si>
    <t>Table 6_NI:</t>
  </si>
  <si>
    <t>Funding body grants - Northern Ireland</t>
  </si>
  <si>
    <t>Providers in Northern Ireland only:</t>
  </si>
  <si>
    <t>Recurrent (teaching)</t>
  </si>
  <si>
    <t>Recurrent (research)</t>
  </si>
  <si>
    <t>Recurrent - other (including non-recurrent special funding)</t>
  </si>
  <si>
    <t>Table 7:</t>
  </si>
  <si>
    <t>Expenditure -  breakdown by activity and HESA cost centre</t>
  </si>
  <si>
    <t xml:space="preserve">Academic staff costs </t>
  </si>
  <si>
    <t>Other staff costs</t>
  </si>
  <si>
    <t>Total staff costs</t>
  </si>
  <si>
    <t>///////////</t>
  </si>
  <si>
    <t>203 General education expenditure</t>
  </si>
  <si>
    <t>National Bursaries</t>
  </si>
  <si>
    <t>Provider specific (including departmental) bursaries and scholarships</t>
  </si>
  <si>
    <t>Other general expenditure</t>
  </si>
  <si>
    <t>203 Total general education expenditure</t>
  </si>
  <si>
    <t>Premises</t>
  </si>
  <si>
    <t>Repairs and maintenance</t>
  </si>
  <si>
    <t>Other expenditure</t>
  </si>
  <si>
    <t>205 Total premises</t>
  </si>
  <si>
    <t>Residences and catering operations (including conferences)</t>
  </si>
  <si>
    <t>5a</t>
  </si>
  <si>
    <t>5b</t>
  </si>
  <si>
    <t>Catering operations</t>
  </si>
  <si>
    <t>5c</t>
  </si>
  <si>
    <t>206 Total residences and catering operations (including conferences)</t>
  </si>
  <si>
    <t>6c</t>
  </si>
  <si>
    <t>6d</t>
  </si>
  <si>
    <t>6e</t>
  </si>
  <si>
    <t>6f</t>
  </si>
  <si>
    <t>6g</t>
  </si>
  <si>
    <t>6h</t>
  </si>
  <si>
    <t>6i</t>
  </si>
  <si>
    <t>6n</t>
  </si>
  <si>
    <t>Pension cost adjustment</t>
  </si>
  <si>
    <t xml:space="preserve">Other </t>
  </si>
  <si>
    <t>208 Total other expenditure</t>
  </si>
  <si>
    <t>Table 8:</t>
  </si>
  <si>
    <t>Capital expenditure</t>
  </si>
  <si>
    <t>Source of funds</t>
  </si>
  <si>
    <t>Retained proceeds of sales</t>
  </si>
  <si>
    <t>Internal funds</t>
  </si>
  <si>
    <t>Loans</t>
  </si>
  <si>
    <t>Leasing</t>
  </si>
  <si>
    <t>PFI</t>
  </si>
  <si>
    <t>Other external sources</t>
  </si>
  <si>
    <t>Total actual spend</t>
  </si>
  <si>
    <t>Buildings</t>
  </si>
  <si>
    <t>Equipment</t>
  </si>
  <si>
    <t>Other operations</t>
  </si>
  <si>
    <t>Total capital expenditure</t>
  </si>
  <si>
    <t>Table 9:</t>
  </si>
  <si>
    <t>Separately disclosed material items from the audited financial statement of comprehensive income and expenditure</t>
  </si>
  <si>
    <t xml:space="preserve"> 'Material' items disclosed separately in the published accounts should be returned here. Where more than one disclosed item sits under a single head, the amounts should be summed, and the description should comprise all items summed.</t>
  </si>
  <si>
    <t>Hide these columns</t>
  </si>
  <si>
    <t>Disclosed item(s)</t>
  </si>
  <si>
    <t>QR.C20031.Table9.1 Result</t>
  </si>
  <si>
    <t>Cell reference</t>
  </si>
  <si>
    <t>Cell displayed if rule triggers</t>
  </si>
  <si>
    <t>QR.C20031.Table9.2 Result</t>
  </si>
  <si>
    <t>QR.C20031.Table9.3 Result</t>
  </si>
  <si>
    <t>QR.C20031.Table9.4 Result</t>
  </si>
  <si>
    <t>Miscellaneous types of Other comprehensive income</t>
  </si>
  <si>
    <t>Table 10:</t>
  </si>
  <si>
    <t>Head of provider remuneration</t>
  </si>
  <si>
    <t>Guidance:
Please record separately the remuneration information for every serving head of provider during the financial years 2024-25 and 2023-24.
Please include all dates, even those falling outside the two financial years, e.g. if head of provider started on 1 January 2015, please enter this as start date.</t>
  </si>
  <si>
    <t>Previous Head of provider (1)</t>
  </si>
  <si>
    <t>Previous Head of provider (2)</t>
  </si>
  <si>
    <t>Previous Head of provider (3)</t>
  </si>
  <si>
    <t>If the head of provider who was serving on 31 July 2025 has subsequently left, please include the date they actually left. 
Please leave the end date blank for the head of provider at 31 July 2025, if this individual remains in position at date of submission of the HESA finance record.</t>
  </si>
  <si>
    <t xml:space="preserve"> - comments entered (1=yes, 0=no)</t>
  </si>
  <si>
    <t>Name of individuals serving as head of provider during the two years</t>
  </si>
  <si>
    <t>Type name here</t>
  </si>
  <si>
    <t>/////////////////////////</t>
  </si>
  <si>
    <t>Start date of service in head of provider role (YYYY-MM-DD)</t>
  </si>
  <si>
    <t>End date of service in head of provider role (YYYY-MM-DD)</t>
  </si>
  <si>
    <t>Disclosures relating to head of provider role</t>
  </si>
  <si>
    <t>Annualised basic salary awarded before salary sacrifice arrangements and any waivers</t>
  </si>
  <si>
    <t>Basic salary paid</t>
  </si>
  <si>
    <t>Basic salary paid before salary sacrifice arrangements</t>
  </si>
  <si>
    <t>Deductions to reflect salary sacrifice arrangements</t>
  </si>
  <si>
    <t>Basic salary paid after salary sacrifice arrangements</t>
  </si>
  <si>
    <t>Salary in lieu of pension and payments in lieu of pension contributions</t>
  </si>
  <si>
    <t>Payment of dividends</t>
  </si>
  <si>
    <t>Performance related pay and other bonuses</t>
  </si>
  <si>
    <t>Pension contributions</t>
  </si>
  <si>
    <t>Any sums paid under any pension scheme in relation to employment with the provider</t>
  </si>
  <si>
    <t xml:space="preserve">Compensation for loss of office </t>
  </si>
  <si>
    <t>Total disclosures relating to head of provider role (before salary sacrifice)</t>
  </si>
  <si>
    <t>Other taxable benefits</t>
  </si>
  <si>
    <t>Company cars</t>
  </si>
  <si>
    <t>Subsidised loans including mortgage subsidies</t>
  </si>
  <si>
    <t>Subsidised accommodation</t>
  </si>
  <si>
    <t xml:space="preserve">Where 3d 'Other taxable benefits' has been completed, please detail below what items are included in this: </t>
  </si>
  <si>
    <t>Total other taxable benefits</t>
  </si>
  <si>
    <t>Non-taxable benefits</t>
  </si>
  <si>
    <t>Contributions to relocation costs</t>
  </si>
  <si>
    <t>Living accommodation</t>
  </si>
  <si>
    <t xml:space="preserve">Where 4c 'Other non-taxable benefits' has been completed, please detail below what items are included in this: </t>
  </si>
  <si>
    <t>Other non-taxable benefits</t>
  </si>
  <si>
    <t>Total non-taxable benefits</t>
  </si>
  <si>
    <t>Other remuneration</t>
  </si>
  <si>
    <t>Compensation for loss of benefits</t>
  </si>
  <si>
    <t>Ex-gratia and remuneration payments while on sabbatical</t>
  </si>
  <si>
    <t>Payments for consultancy work that are made to the individual for work delivered using the providers' resources</t>
  </si>
  <si>
    <t xml:space="preserve">Where 5d 'Other remuneration' has been completed, please detail below what items are included in this: </t>
  </si>
  <si>
    <t>5d</t>
  </si>
  <si>
    <t>5e</t>
  </si>
  <si>
    <t>Total other remuneration</t>
  </si>
  <si>
    <t>Total remuneration (before salary sacrifice)</t>
  </si>
  <si>
    <t>Was the individual provided with University accommodation ? (Yes/No)</t>
  </si>
  <si>
    <t>Please confirm if this has been given a nil taxable value in the above table ? (Yes/No)</t>
  </si>
  <si>
    <t>Please use the text box if you wish to provide any commentary in support of the data returned in this table</t>
  </si>
  <si>
    <t>Text box</t>
  </si>
  <si>
    <t>Current head of provider's remuneration expressed as a pay multiple of all other employee's remuneration</t>
  </si>
  <si>
    <t>(Median pay and median total remuneration should be calculated on a full-time equivalent basis across all employees, including academic and non-academic staff)</t>
  </si>
  <si>
    <t>Head of the provider's basic salary divided by the median pay (salary)</t>
  </si>
  <si>
    <t>Head of the provider's total remuneration divided by the median total remuneration.</t>
  </si>
  <si>
    <t>Table 11:</t>
  </si>
  <si>
    <t>Analysis of staff costs</t>
  </si>
  <si>
    <t>FTE</t>
  </si>
  <si>
    <t>Salaries and wages academic staff</t>
  </si>
  <si>
    <t>Salaries and wages non-academic staff</t>
  </si>
  <si>
    <t>Total salaries and wages</t>
  </si>
  <si>
    <t>Social security costs</t>
  </si>
  <si>
    <t>Employer Universities Superannuation Scheme (USS) contributions</t>
  </si>
  <si>
    <t>Employer Teachers' Pension Scheme (TPS) contributions</t>
  </si>
  <si>
    <t>Employer Local Government Pension Scheme (LGPS) contributions</t>
  </si>
  <si>
    <t>Employer Other pension costs</t>
  </si>
  <si>
    <t>Changes to pension provisions and pension adjustments (USS)</t>
  </si>
  <si>
    <t>Changes to pension provisions and pension adjustments (Other)</t>
  </si>
  <si>
    <t xml:space="preserve">Other staff related costs </t>
  </si>
  <si>
    <t xml:space="preserve">Total staff costs </t>
  </si>
  <si>
    <t>Total staff costs (excluding changes to pension provisions and pension adjustments)</t>
  </si>
  <si>
    <t>Average staff numbers</t>
  </si>
  <si>
    <t>Average academic staff numbers (FTE)</t>
  </si>
  <si>
    <t>Average non-academic staff numbers (FTE)</t>
  </si>
  <si>
    <t xml:space="preserve">Total staff numbers (FTE) as disclosed in accounts </t>
  </si>
  <si>
    <t>Remuneration of higher paid staff excluding head of provider, but including funding from external sources including NHS (Not required for Scottish providers)</t>
  </si>
  <si>
    <t>Headcount
(N IRELAND and WALES ONLY)</t>
  </si>
  <si>
    <t xml:space="preserve">Total </t>
  </si>
  <si>
    <t>Split into banding as follows:</t>
  </si>
  <si>
    <t>£100,000 - £104,999</t>
  </si>
  <si>
    <t>£105,000 - £109,999</t>
  </si>
  <si>
    <t>£110,000 - £114,999</t>
  </si>
  <si>
    <t>£115,000 - £119,999</t>
  </si>
  <si>
    <t>£120,000 - £124,999</t>
  </si>
  <si>
    <t>£125,000 - £129,999</t>
  </si>
  <si>
    <t>£130,000 - £134,999</t>
  </si>
  <si>
    <t>£135,000 - £139,999</t>
  </si>
  <si>
    <t>£140,000 - £144,999</t>
  </si>
  <si>
    <t>£145,000 - £149,999</t>
  </si>
  <si>
    <t>£150,000 - £154,999</t>
  </si>
  <si>
    <t>£155,000 - £159,999</t>
  </si>
  <si>
    <t>£160,000 - £164,999</t>
  </si>
  <si>
    <t>£165,000 - £169,999</t>
  </si>
  <si>
    <t>£170,000 - £174,999</t>
  </si>
  <si>
    <t>£175,000 - £179,999</t>
  </si>
  <si>
    <t>£180,000 - £184,999</t>
  </si>
  <si>
    <t>£185,000 - £189,999</t>
  </si>
  <si>
    <t>£190,000 - £194,999</t>
  </si>
  <si>
    <t>£195,000 - £199,999</t>
  </si>
  <si>
    <t>£200,000 - £204,999</t>
  </si>
  <si>
    <t>£205,000 - £209,999</t>
  </si>
  <si>
    <t>£210,000 - £214,999</t>
  </si>
  <si>
    <t>£215,000 - £219,999</t>
  </si>
  <si>
    <t>£220,000 - £224,999</t>
  </si>
  <si>
    <t>£225,000 - £229,999</t>
  </si>
  <si>
    <t>£230,000 - £234,999</t>
  </si>
  <si>
    <t>£235,000 - £239,999</t>
  </si>
  <si>
    <t>£240,000 - £244,999</t>
  </si>
  <si>
    <t>£245,000 - £249,999</t>
  </si>
  <si>
    <t>£250,000 - £254,999</t>
  </si>
  <si>
    <t>£255,000 - £259,999</t>
  </si>
  <si>
    <t>£260,000 - £264,999</t>
  </si>
  <si>
    <t>£265,000 - £269,999</t>
  </si>
  <si>
    <t>£270,000 - £274,999</t>
  </si>
  <si>
    <t>£275,000 - £279,999</t>
  </si>
  <si>
    <t>£280,000 - £284,999</t>
  </si>
  <si>
    <t>£285,000 - £289,999</t>
  </si>
  <si>
    <t>£290,000 - £294,999</t>
  </si>
  <si>
    <t>£295,000 - £299,999</t>
  </si>
  <si>
    <t>£300,000 - £304,999</t>
  </si>
  <si>
    <t>£305,000 - £309,999</t>
  </si>
  <si>
    <t>£310,000 - £314,999</t>
  </si>
  <si>
    <t>£315,000 - £319,999</t>
  </si>
  <si>
    <t>£320,000 - £324,999</t>
  </si>
  <si>
    <t>£325,000 - £329,999</t>
  </si>
  <si>
    <t>£330,000 - £334,999</t>
  </si>
  <si>
    <t>£335,000 - £339,999</t>
  </si>
  <si>
    <t>£340,000 - £344,999</t>
  </si>
  <si>
    <t>£345,000 - £349,999</t>
  </si>
  <si>
    <t>£350,000 - £354,999</t>
  </si>
  <si>
    <t>£355,000 - £359,999</t>
  </si>
  <si>
    <t>£360,000 - £364,999</t>
  </si>
  <si>
    <t>£365,000 - £369,999</t>
  </si>
  <si>
    <t>£370,000 - £374,999</t>
  </si>
  <si>
    <t>£375,000 - £379,999</t>
  </si>
  <si>
    <t>£380,000 - £384,999</t>
  </si>
  <si>
    <t>£385,000 - £389,999</t>
  </si>
  <si>
    <t>£390,000 - £394,999</t>
  </si>
  <si>
    <t>£395,000 - £399,999</t>
  </si>
  <si>
    <t>£400,000 - £404,999</t>
  </si>
  <si>
    <t>£405,000 - £409,999</t>
  </si>
  <si>
    <t>£410,000 - £414,999</t>
  </si>
  <si>
    <t>£415,000 - £419,999</t>
  </si>
  <si>
    <t>£420,000 - £424,999</t>
  </si>
  <si>
    <t>£425,000 - £429,999</t>
  </si>
  <si>
    <t>£430,000 - £434,999</t>
  </si>
  <si>
    <t>£435,000 - £439,999</t>
  </si>
  <si>
    <t>£440,000 - £444,999</t>
  </si>
  <si>
    <t>£445,000 - £449,999</t>
  </si>
  <si>
    <t>£450,000 - £454,999</t>
  </si>
  <si>
    <t>£455,000 - £459,999</t>
  </si>
  <si>
    <t>£460,000 - £464,999</t>
  </si>
  <si>
    <t>£465,000 - £469,999</t>
  </si>
  <si>
    <t>£470,000 - £474,999</t>
  </si>
  <si>
    <t>£475,000 - £479,999</t>
  </si>
  <si>
    <t>£480,000 - £484,999</t>
  </si>
  <si>
    <t>£485,000 - £489,999</t>
  </si>
  <si>
    <t>£490,000 - £494,999</t>
  </si>
  <si>
    <t>£495,000 - £499,999</t>
  </si>
  <si>
    <t>£500,000 - £504,999</t>
  </si>
  <si>
    <t>£505,000 - £509,999</t>
  </si>
  <si>
    <t>£510,000 - £514,999</t>
  </si>
  <si>
    <t>£515,000 - £519,999</t>
  </si>
  <si>
    <t>£520,000 - £524,999</t>
  </si>
  <si>
    <t>£525,000 - £529,999</t>
  </si>
  <si>
    <t>£530,000 - £534,999</t>
  </si>
  <si>
    <t>£535,000 - £539,999</t>
  </si>
  <si>
    <t>£540,000 - £544,999</t>
  </si>
  <si>
    <t>£545,000 - £549,999</t>
  </si>
  <si>
    <t>£550,000 - £554,999</t>
  </si>
  <si>
    <t>£555,000 - £559,999</t>
  </si>
  <si>
    <t>£560,000 - £564,999</t>
  </si>
  <si>
    <t>£565,000 - £569,999</t>
  </si>
  <si>
    <t>£570,000 - £574,999</t>
  </si>
  <si>
    <t>£575,000 - £579,999</t>
  </si>
  <si>
    <t>£580,000 - £584,999</t>
  </si>
  <si>
    <t>£585,000 - £589,999</t>
  </si>
  <si>
    <t>£590,000 - £594,999</t>
  </si>
  <si>
    <t>£595,000 - £599,999</t>
  </si>
  <si>
    <t>£600,000 - £604,999</t>
  </si>
  <si>
    <t>£605,000 - £609,999</t>
  </si>
  <si>
    <t>£610,000 - £614,999</t>
  </si>
  <si>
    <t>£615,000 - £619,999</t>
  </si>
  <si>
    <t>£620,000 - £624,999</t>
  </si>
  <si>
    <t>£625,000 - £629,999</t>
  </si>
  <si>
    <t>£630,000 - £634,999</t>
  </si>
  <si>
    <t>£635,000 - £639,999</t>
  </si>
  <si>
    <t>£640,000 - £644,999</t>
  </si>
  <si>
    <t>£645,000 - £649,999</t>
  </si>
  <si>
    <t>£650,000 - £654,999</t>
  </si>
  <si>
    <t>£655,000 - £659,999</t>
  </si>
  <si>
    <t>£660,000 - £664,999</t>
  </si>
  <si>
    <t>£665,000 - £669,999</t>
  </si>
  <si>
    <t>£670,000 - £674,999</t>
  </si>
  <si>
    <t>£675,000 - £679,999</t>
  </si>
  <si>
    <t>£680,000 - £684,999</t>
  </si>
  <si>
    <t>£685,000 - £689,999</t>
  </si>
  <si>
    <t>£690,000 - £694,999</t>
  </si>
  <si>
    <t>£695,000 - £699,999</t>
  </si>
  <si>
    <t>£700,000 - £704,999</t>
  </si>
  <si>
    <t>£705,000 - £709,999</t>
  </si>
  <si>
    <t>£710,000 - £714,999</t>
  </si>
  <si>
    <t>£715,000 - £719,999</t>
  </si>
  <si>
    <t>£720,000 - £724,999</t>
  </si>
  <si>
    <t>£725,000 - £729,999</t>
  </si>
  <si>
    <t>£730,000 - £734,999</t>
  </si>
  <si>
    <t>£735,000 - £739,999</t>
  </si>
  <si>
    <t>£740,000 - £744,999</t>
  </si>
  <si>
    <t>£745,000 - £749,999</t>
  </si>
  <si>
    <t>£750,000 - £754,999</t>
  </si>
  <si>
    <t>£755,000 - £759,999</t>
  </si>
  <si>
    <t>£760,000 - £764,999</t>
  </si>
  <si>
    <t>£765,000 - £769,999</t>
  </si>
  <si>
    <t>£770,000 - £774,999</t>
  </si>
  <si>
    <t>£775,000 - £779,999</t>
  </si>
  <si>
    <t>£780,000 - £784,999</t>
  </si>
  <si>
    <t>£785,000 - £789,999</t>
  </si>
  <si>
    <t>£790,000 - £794,999</t>
  </si>
  <si>
    <t>£795,000 - £799,999</t>
  </si>
  <si>
    <t>£800,000 and over</t>
  </si>
  <si>
    <t>Table 12:</t>
  </si>
  <si>
    <t>Severance payments</t>
  </si>
  <si>
    <t xml:space="preserve">
</t>
  </si>
  <si>
    <t>Compensation for loss of office paid to the head of provider</t>
  </si>
  <si>
    <t>Loss of office at the provider</t>
  </si>
  <si>
    <t>Loss of office at any of the provider's parent or subsidiary undertakings or any office(s) connected to the provider's affairs</t>
  </si>
  <si>
    <t>Where the compensation includes benefits other than cash: estimated money value</t>
  </si>
  <si>
    <t>Where the compensation includes benefits other than cash: nature of the benefit details</t>
  </si>
  <si>
    <t>Please type nature of the benefits here</t>
  </si>
  <si>
    <t>Where the compensation includes additional pension contributions relating to the employment with the provider: amount of the pension contribution</t>
  </si>
  <si>
    <t>Aggregate of compensation paid for loss of office to staff earning in excess of £100,000 per annum (Excludes head of provider)</t>
  </si>
  <si>
    <t>Loss of office at the provider:</t>
  </si>
  <si>
    <t>Total amount of compensation paid across the whole provider</t>
  </si>
  <si>
    <t>Number of people to whom this was payable</t>
  </si>
  <si>
    <t>Loss of office at any of the provider's parent or subsidiary undertakings or any office(s) connected to the provider's affairs:</t>
  </si>
  <si>
    <t>Please confirm if you are submitting a nil return for severance payments ? (Yes/No)</t>
  </si>
  <si>
    <t>KFI Calculations</t>
  </si>
  <si>
    <t>KFI No.</t>
  </si>
  <si>
    <t>KFI ratio title</t>
  </si>
  <si>
    <t>Ratio specification using Finance record template reference</t>
  </si>
  <si>
    <t>KFI No.- Numeric part</t>
  </si>
  <si>
    <t>KFI Suffix    1=a,2=b</t>
  </si>
  <si>
    <t>Numerator</t>
  </si>
  <si>
    <t>Denominator</t>
  </si>
  <si>
    <t xml:space="preserve">Surplus/(deficit) as a % of total income </t>
  </si>
  <si>
    <t>100 x Table 1 Head 3 / Table 1 Head 1g</t>
  </si>
  <si>
    <t xml:space="preserve">Surplus/(deficit) excl. pension adjustment as a % of total income </t>
  </si>
  <si>
    <t>100 x (Table 1 Head 3 + Table 11 Head 1i + Table 11 Head 1j) / Table 1 Head 1g</t>
  </si>
  <si>
    <t>Staff costs as a % of total income</t>
  </si>
  <si>
    <t>100 x Table 1 Head 2a  / Table 1 Head 1g</t>
  </si>
  <si>
    <t>Staff costs excl. pension adjustment as a % of total income</t>
  </si>
  <si>
    <t>100 x (Table 1 Head 2a -Table 11 Head 1i - Table 11 Head 1j)  / Table 1 Head 1g</t>
  </si>
  <si>
    <t>Premises costs as a % of total costs</t>
  </si>
  <si>
    <t>100 x Table 7 Head 4c column 5 / Table 1 Head 2f</t>
  </si>
  <si>
    <t>Premises costs as a % of total costs excl. pension adjustment</t>
  </si>
  <si>
    <t>100 x Table 7 Head 4c column 5 / (Table 1 Head 2f - Table 11 Head 1i - Table 11 Head 1j)</t>
  </si>
  <si>
    <t xml:space="preserve">Unrestricted reserves as a % of total income </t>
  </si>
  <si>
    <t>100 x SUM (Table 2 Head 11a and Table 2 Head 11b) / Table 1 Head 1g</t>
  </si>
  <si>
    <t>External borrowing as a % of total income</t>
  </si>
  <si>
    <t>100 x SUM (Table 2 Head 3a and Head 3b and Head 3c and Head 3f and Head 3gand Table 2 Head 7a and Head 7b and Head 7c and Head 7d) / Table 1 Head 1g</t>
  </si>
  <si>
    <t>Days ratio of total net assets to total expenditure</t>
  </si>
  <si>
    <t>365 * (Table 2 Head 9 / Table 1 Head 2f)</t>
  </si>
  <si>
    <t>Days ratio of total net assets to total expenditure excl. pension adjustment</t>
  </si>
  <si>
    <t>365 * (Table 2 Head 9 / (Table 1 Head 2f - Table 11 Head 1i - Table 11 Head 1j)</t>
  </si>
  <si>
    <t>Ratio of current assets to current liabilities</t>
  </si>
  <si>
    <t>Table 2 Head 2h / Table 2 Head 3i</t>
  </si>
  <si>
    <t xml:space="preserve">Net cash inflow from operating activities as a % of total income </t>
  </si>
  <si>
    <t>100 x Table 3 Head 6 / Table 1 Head 1g</t>
  </si>
  <si>
    <t>Net liquidity days</t>
  </si>
  <si>
    <t>365 x (SUM (Table 2 Head 2c and Table 2 Head 2d) - Table 2 Head 3a) / (Table 1 Head 2f - Table 1 Head 2d)</t>
  </si>
  <si>
    <t>9a</t>
  </si>
  <si>
    <t>Net liquidity days excl. pension adjustment</t>
  </si>
  <si>
    <t>365 x (SUM (Table 2 Head 2c and Table 2 Head 2d) - Table 2 Head 3a) / (Table 1 Head 2f - Table 1 Head 2d - Table 11 Head 1i - Table 11 Head 1j)</t>
  </si>
  <si>
    <t>Debt service ratio</t>
  </si>
  <si>
    <t>Table 3 Head 6 / (Table 3 Head 8a and Table 3 Head 8b and Table 3 Head 8g and Table 3 Head 8h)</t>
  </si>
  <si>
    <t>Professor Peter Mathieson</t>
  </si>
  <si>
    <t>Removal of the USS pension defiict recovery plan</t>
  </si>
  <si>
    <t>Impairment on fixed assets</t>
  </si>
  <si>
    <t>The USS change in provision was dislosured separately from staff costs in the signed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</si>
</sst>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000"/>
    <numFmt numFmtId="166" formatCode="\X"/>
    <numFmt numFmtId="167" formatCode="#,##0.0;\-#,##0.0"/>
    <numFmt numFmtId="168" formatCode="yyyy\-mm\-dd;@"/>
    <numFmt numFmtId="169" formatCode="[$-F400]h:mm:ss\ AM/PM"/>
  </numFmts>
  <fonts count="41" x14ac:knownFonts="1">
    <font>
      <sz val="11"/>
      <color theme="1"/>
      <name val="Calibri"/>
      <family val="2"/>
      <scheme val="minor"/>
    </font>
    <font>
      <sz val="10"/>
      <name val="Arial"/>
      <family val="2"/>
    </font>
    <font>
      <b/>
      <sz val="10"/>
      <name val="Arial"/>
      <family val="2"/>
    </font>
    <font>
      <b/>
      <sz val="15"/>
      <color theme="3"/>
      <name val="Calibri"/>
      <family val="2"/>
      <scheme val="minor"/>
    </font>
    <font>
      <sz val="10"/>
      <color rgb="FFFF0000"/>
      <name val="Arial"/>
      <family val="2"/>
    </font>
    <font>
      <sz val="10"/>
      <color rgb="FF0000FF"/>
      <name val="Arial"/>
      <family val="2"/>
    </font>
    <font>
      <b/>
      <sz val="10"/>
      <color theme="1"/>
      <name val="Arial"/>
      <family val="2"/>
    </font>
    <font>
      <sz val="10"/>
      <color theme="1"/>
      <name val="Arial"/>
      <family val="2"/>
    </font>
    <font>
      <sz val="10"/>
      <color rgb="FF0070C0"/>
      <name val="Arial"/>
      <family val="2"/>
    </font>
    <font>
      <b/>
      <sz val="10"/>
      <color theme="0"/>
      <name val="Arial"/>
      <family val="2"/>
    </font>
    <font>
      <sz val="10"/>
      <color theme="0"/>
      <name val="Arial"/>
      <family val="2"/>
    </font>
    <font>
      <sz val="12"/>
      <color theme="1"/>
      <name val="Arial"/>
      <family val="2"/>
    </font>
    <font>
      <i/>
      <sz val="10"/>
      <color theme="1"/>
      <name val="Arial"/>
      <family val="2"/>
    </font>
    <font>
      <sz val="10"/>
      <color indexed="12"/>
      <name val="Arial"/>
      <family val="2"/>
    </font>
    <font>
      <sz val="11"/>
      <color theme="1"/>
      <name val="Calibri"/>
      <family val="2"/>
      <scheme val="minor"/>
    </font>
    <font>
      <i/>
      <sz val="10"/>
      <color theme="0" tint="-0.499984740745262"/>
      <name val="Arial"/>
      <family val="2"/>
    </font>
    <font>
      <i/>
      <sz val="10"/>
      <color rgb="FFFF0000"/>
      <name val="Arial"/>
      <family val="2"/>
    </font>
    <font>
      <sz val="11"/>
      <name val="Arial"/>
      <family val="2"/>
    </font>
    <font>
      <sz val="11"/>
      <color theme="1"/>
      <name val="Arial"/>
      <family val="2"/>
    </font>
    <font>
      <sz val="10"/>
      <color indexed="9"/>
      <name val="Arial"/>
      <family val="2"/>
    </font>
    <font>
      <b/>
      <sz val="10"/>
      <color indexed="9"/>
      <name val="Arial"/>
      <family val="2"/>
    </font>
    <font>
      <sz val="10"/>
      <color rgb="FF3366FF"/>
      <name val="Arial"/>
      <family val="2"/>
    </font>
    <font>
      <sz val="8"/>
      <name val="Calibri"/>
      <family val="2"/>
      <scheme val="minor"/>
    </font>
    <font>
      <b/>
      <sz val="10"/>
      <color rgb="FFFF0000"/>
      <name val="Arial"/>
      <family val="2"/>
    </font>
    <font>
      <b/>
      <u/>
      <sz val="10"/>
      <color rgb="FF000000"/>
      <name val="Arial"/>
      <family val="2"/>
    </font>
    <font>
      <sz val="11"/>
      <color rgb="FFFF0000"/>
      <name val="Arial"/>
      <family val="2"/>
    </font>
    <font>
      <sz val="10"/>
      <color rgb="FFBF8F00"/>
      <name val="Arial"/>
      <family val="2"/>
    </font>
    <font>
      <b/>
      <u/>
      <sz val="10"/>
      <color theme="1"/>
      <name val="Arial"/>
      <family val="2"/>
    </font>
    <font>
      <strike/>
      <sz val="10"/>
      <color theme="1"/>
      <name val="Arial"/>
      <family val="2"/>
    </font>
    <font>
      <u/>
      <sz val="10"/>
      <color rgb="FF000000"/>
      <name val="Arial"/>
      <family val="2"/>
    </font>
    <font>
      <b/>
      <i/>
      <sz val="10"/>
      <color rgb="FF000000"/>
      <name val="Arial"/>
      <family val="2"/>
    </font>
    <font>
      <b/>
      <sz val="10"/>
      <color theme="3"/>
      <name val="Arial"/>
      <family val="2"/>
    </font>
    <font>
      <b/>
      <sz val="10"/>
      <color rgb="FFFFFFFF"/>
      <name val="Arial"/>
      <family val="2"/>
    </font>
    <font>
      <sz val="10"/>
      <color rgb="FFFFFFFF"/>
      <name val="Arial"/>
      <family val="2"/>
    </font>
    <font>
      <u/>
      <sz val="10"/>
      <color rgb="FFFFFFFF"/>
      <name val="Arial"/>
      <family val="2"/>
    </font>
    <font>
      <b/>
      <i/>
      <sz val="10"/>
      <color theme="0"/>
      <name val="Arial"/>
      <family val="2"/>
    </font>
    <font>
      <b/>
      <sz val="10"/>
      <color rgb="FF242424"/>
      <name val="Arial"/>
      <family val="2"/>
    </font>
    <font>
      <sz val="11"/>
      <name val="Calibri"/>
      <family val="2"/>
      <scheme val="minor"/>
    </font>
    <font>
      <u/>
      <sz val="10"/>
      <color theme="1"/>
      <name val="Arial"/>
      <family val="2"/>
    </font>
    <font>
      <sz val="7"/>
      <color rgb="FF000000"/>
      <name val="Segoe UI"/>
      <family val="2"/>
    </font>
    <font>
      <u/>
      <sz val="11"/>
      <color theme="10"/>
      <name val="Calibri"/>
      <family val="2"/>
      <scheme val="minor"/>
    </font>
  </fonts>
  <fills count="16">
    <fill>
      <patternFill patternType="none"/>
    </fill>
    <fill>
      <patternFill patternType="gray125"/>
    </fill>
    <fill>
      <patternFill patternType="solid">
        <fgColor rgb="FF647B96"/>
        <bgColor rgb="FF000000"/>
      </patternFill>
    </fill>
    <fill>
      <patternFill patternType="solid">
        <fgColor rgb="FFAFC0EF"/>
        <bgColor rgb="FF000000"/>
      </patternFill>
    </fill>
    <fill>
      <patternFill patternType="solid">
        <fgColor rgb="FFFFFFFF"/>
        <bgColor rgb="FF000000"/>
      </patternFill>
    </fill>
    <fill>
      <patternFill patternType="solid">
        <fgColor rgb="FFDDE1EB"/>
        <bgColor rgb="FF000000"/>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theme="0"/>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s>
  <cellStyleXfs count="11">
    <xf numFmtId="0" fontId="0" fillId="0" borderId="0"/>
    <xf numFmtId="0" fontId="1" fillId="0" borderId="0"/>
    <xf numFmtId="0" fontId="3" fillId="0" borderId="7" applyNumberFormat="0" applyFill="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cellStyleXfs>
  <cellXfs count="760">
    <xf numFmtId="0" fontId="0" fillId="0" borderId="0" xfId="0"/>
    <xf numFmtId="0" fontId="6" fillId="0" borderId="6" xfId="0" applyFont="1" applyBorder="1" applyAlignment="1">
      <alignment vertical="center"/>
    </xf>
    <xf numFmtId="0" fontId="6" fillId="0" borderId="2" xfId="0" applyFont="1" applyBorder="1" applyAlignment="1">
      <alignment vertical="center"/>
    </xf>
    <xf numFmtId="0" fontId="7" fillId="0" borderId="8" xfId="0" applyFont="1" applyBorder="1" applyAlignment="1">
      <alignment vertical="center"/>
    </xf>
    <xf numFmtId="0" fontId="7" fillId="0" borderId="10" xfId="0" applyFont="1" applyBorder="1" applyAlignment="1">
      <alignment horizontal="left"/>
    </xf>
    <xf numFmtId="0" fontId="7" fillId="0" borderId="9" xfId="0" applyFont="1" applyBorder="1" applyAlignment="1">
      <alignment horizontal="left"/>
    </xf>
    <xf numFmtId="0" fontId="7" fillId="0" borderId="10" xfId="0" applyFont="1" applyBorder="1"/>
    <xf numFmtId="0" fontId="7" fillId="0" borderId="9" xfId="0" applyFont="1" applyBorder="1"/>
    <xf numFmtId="0" fontId="7" fillId="0" borderId="0" xfId="0" applyFont="1" applyAlignment="1">
      <alignment horizontal="center" wrapText="1"/>
    </xf>
    <xf numFmtId="0" fontId="27" fillId="0" borderId="0" xfId="0" applyFont="1" applyAlignment="1">
      <alignment horizontal="center"/>
    </xf>
    <xf numFmtId="37" fontId="5" fillId="0" borderId="2" xfId="0" applyNumberFormat="1" applyFont="1" applyBorder="1" applyProtection="1">
      <protection locked="0"/>
    </xf>
    <xf numFmtId="37" fontId="5" fillId="0" borderId="2" xfId="0" applyNumberFormat="1" applyFont="1" applyBorder="1" applyAlignment="1" applyProtection="1">
      <alignment horizontal="right"/>
      <protection locked="0"/>
    </xf>
    <xf numFmtId="37" fontId="5" fillId="0" borderId="2" xfId="0" applyNumberFormat="1" applyFont="1" applyBorder="1" applyAlignment="1">
      <alignment horizontal="right"/>
    </xf>
    <xf numFmtId="37" fontId="7" fillId="0" borderId="2" xfId="0" applyNumberFormat="1" applyFont="1" applyBorder="1" applyAlignment="1">
      <alignment horizontal="right"/>
    </xf>
    <xf numFmtId="37" fontId="1" fillId="0" borderId="2" xfId="0" applyNumberFormat="1" applyFont="1" applyBorder="1" applyAlignment="1">
      <alignment horizontal="right"/>
    </xf>
    <xf numFmtId="0" fontId="23" fillId="0" borderId="12" xfId="2" applyFont="1" applyFill="1" applyBorder="1" applyAlignment="1">
      <alignment vertical="top" wrapText="1"/>
    </xf>
    <xf numFmtId="0" fontId="23" fillId="0" borderId="6" xfId="2" applyFont="1" applyFill="1" applyBorder="1" applyAlignment="1">
      <alignment vertical="top" wrapText="1"/>
    </xf>
    <xf numFmtId="0" fontId="7" fillId="0" borderId="13" xfId="0" applyFont="1" applyBorder="1" applyAlignment="1">
      <alignment horizontal="left" indent="1"/>
    </xf>
    <xf numFmtId="0" fontId="7" fillId="0" borderId="9" xfId="0" applyFont="1" applyBorder="1" applyAlignment="1">
      <alignment horizontal="left" indent="1"/>
    </xf>
    <xf numFmtId="37" fontId="4" fillId="0" borderId="2" xfId="0" applyNumberFormat="1" applyFont="1" applyBorder="1" applyAlignment="1">
      <alignment horizontal="right"/>
    </xf>
    <xf numFmtId="37" fontId="4" fillId="0" borderId="2" xfId="0" applyNumberFormat="1" applyFont="1" applyBorder="1" applyProtection="1">
      <protection hidden="1"/>
    </xf>
    <xf numFmtId="37" fontId="1" fillId="0" borderId="2" xfId="0" applyNumberFormat="1" applyFont="1" applyBorder="1"/>
    <xf numFmtId="0" fontId="1" fillId="0" borderId="9" xfId="0" applyFont="1" applyBorder="1" applyAlignment="1">
      <alignment horizontal="left" wrapText="1"/>
    </xf>
    <xf numFmtId="0" fontId="1" fillId="0" borderId="10" xfId="0" applyFont="1" applyBorder="1" applyAlignment="1">
      <alignment horizontal="left" indent="1"/>
    </xf>
    <xf numFmtId="37" fontId="7" fillId="0" borderId="2" xfId="0" applyNumberFormat="1" applyFont="1" applyBorder="1"/>
    <xf numFmtId="0" fontId="1" fillId="0" borderId="0" xfId="0" applyFont="1"/>
    <xf numFmtId="0" fontId="27" fillId="0" borderId="32" xfId="0" applyFont="1" applyBorder="1"/>
    <xf numFmtId="0" fontId="7" fillId="0" borderId="0" xfId="0" applyFont="1"/>
    <xf numFmtId="0" fontId="7" fillId="0" borderId="33" xfId="0" applyFont="1" applyBorder="1"/>
    <xf numFmtId="0" fontId="7" fillId="0" borderId="31" xfId="0" applyFont="1" applyBorder="1"/>
    <xf numFmtId="0" fontId="7" fillId="0" borderId="26" xfId="0" applyFont="1" applyBorder="1"/>
    <xf numFmtId="0" fontId="7" fillId="0" borderId="30" xfId="0" applyFont="1" applyBorder="1"/>
    <xf numFmtId="0" fontId="6" fillId="0" borderId="37" xfId="0" applyFont="1" applyBorder="1" applyAlignment="1">
      <alignment horizontal="center"/>
    </xf>
    <xf numFmtId="0" fontId="7" fillId="0" borderId="25" xfId="0" applyFont="1" applyBorder="1"/>
    <xf numFmtId="49" fontId="7" fillId="0" borderId="0" xfId="0" applyNumberFormat="1" applyFont="1"/>
    <xf numFmtId="0" fontId="7" fillId="0" borderId="33" xfId="0" applyFont="1" applyBorder="1" applyAlignment="1">
      <alignment horizontal="center"/>
    </xf>
    <xf numFmtId="0" fontId="27" fillId="0" borderId="0" xfId="0" applyFont="1"/>
    <xf numFmtId="0" fontId="6" fillId="0" borderId="28" xfId="0" applyFont="1" applyBorder="1"/>
    <xf numFmtId="0" fontId="28" fillId="0" borderId="0" xfId="0" applyFont="1"/>
    <xf numFmtId="0" fontId="7" fillId="0" borderId="17" xfId="0" applyFont="1" applyBorder="1" applyAlignment="1">
      <alignment horizontal="center"/>
    </xf>
    <xf numFmtId="0" fontId="7" fillId="0" borderId="32"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29" xfId="0" applyFont="1" applyBorder="1" applyAlignment="1">
      <alignment horizontal="center"/>
    </xf>
    <xf numFmtId="0" fontId="7" fillId="0" borderId="39" xfId="0" applyFont="1" applyBorder="1" applyAlignment="1">
      <alignment horizontal="center"/>
    </xf>
    <xf numFmtId="0" fontId="7" fillId="0" borderId="0" xfId="0" applyFont="1" applyAlignment="1">
      <alignment horizontal="center"/>
    </xf>
    <xf numFmtId="0" fontId="6" fillId="0" borderId="30" xfId="0" applyFont="1" applyBorder="1" applyAlignment="1">
      <alignment horizontal="center"/>
    </xf>
    <xf numFmtId="0" fontId="6" fillId="0" borderId="32" xfId="0" applyFont="1" applyBorder="1" applyAlignment="1">
      <alignment horizontal="center"/>
    </xf>
    <xf numFmtId="0" fontId="7" fillId="0" borderId="30" xfId="0" applyFont="1" applyBorder="1" applyAlignment="1">
      <alignment horizont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wrapText="1"/>
    </xf>
    <xf numFmtId="0" fontId="4" fillId="0" borderId="0" xfId="0" applyFont="1"/>
    <xf numFmtId="0" fontId="18" fillId="0" borderId="0" xfId="0" applyFont="1" applyAlignment="1">
      <alignment horizontal="center"/>
    </xf>
    <xf numFmtId="0" fontId="18" fillId="0" borderId="0" xfId="0" applyFont="1" applyAlignment="1">
      <alignment horizontal="center" wrapText="1"/>
    </xf>
    <xf numFmtId="0" fontId="18" fillId="0" borderId="0" xfId="0" applyFont="1" applyAlignment="1">
      <alignment horizontal="left" wrapText="1"/>
    </xf>
    <xf numFmtId="0" fontId="25" fillId="0" borderId="0" xfId="0" applyFont="1"/>
    <xf numFmtId="0" fontId="18" fillId="0" borderId="0" xfId="0" applyFont="1"/>
    <xf numFmtId="0" fontId="7" fillId="0" borderId="3" xfId="0" applyFont="1" applyBorder="1" applyAlignment="1">
      <alignment horizontal="left" wrapText="1"/>
    </xf>
    <xf numFmtId="0" fontId="6" fillId="0" borderId="0" xfId="0" applyFont="1" applyAlignment="1">
      <alignment horizontal="center"/>
    </xf>
    <xf numFmtId="0" fontId="6" fillId="0" borderId="0" xfId="0" applyFont="1"/>
    <xf numFmtId="0" fontId="6" fillId="0" borderId="14" xfId="0" applyFont="1" applyBorder="1" applyAlignment="1">
      <alignment horizontal="center" wrapText="1"/>
    </xf>
    <xf numFmtId="0" fontId="6" fillId="0" borderId="10" xfId="0" applyFont="1" applyBorder="1" applyAlignment="1">
      <alignment horizontal="left"/>
    </xf>
    <xf numFmtId="0" fontId="7" fillId="0" borderId="13" xfId="0" applyFont="1" applyBorder="1"/>
    <xf numFmtId="0" fontId="7" fillId="0" borderId="15" xfId="0" applyFont="1" applyBorder="1"/>
    <xf numFmtId="0" fontId="7" fillId="0" borderId="0" xfId="0" applyFont="1" applyAlignment="1">
      <alignment horizontal="center" vertical="center" wrapText="1"/>
    </xf>
    <xf numFmtId="0" fontId="7" fillId="0" borderId="14" xfId="0" applyFont="1" applyBorder="1"/>
    <xf numFmtId="0" fontId="15" fillId="0" borderId="14" xfId="0" applyFont="1" applyBorder="1" applyAlignment="1">
      <alignment horizontal="left"/>
    </xf>
    <xf numFmtId="0" fontId="15" fillId="0" borderId="0" xfId="0" applyFont="1" applyAlignment="1">
      <alignment horizontal="center"/>
    </xf>
    <xf numFmtId="0" fontId="6" fillId="0" borderId="0" xfId="0" applyFont="1" applyAlignment="1">
      <alignment horizontal="center" wrapText="1"/>
    </xf>
    <xf numFmtId="0" fontId="7" fillId="0" borderId="16" xfId="0" applyFont="1" applyBorder="1"/>
    <xf numFmtId="0" fontId="7" fillId="0" borderId="3" xfId="0" applyFont="1" applyBorder="1"/>
    <xf numFmtId="0" fontId="7" fillId="0" borderId="2" xfId="0" applyFont="1" applyBorder="1" applyAlignment="1" applyProtection="1">
      <alignment horizontal="left" wrapText="1"/>
      <protection locked="0"/>
    </xf>
    <xf numFmtId="0" fontId="7" fillId="0" borderId="0" xfId="0" applyFont="1" applyAlignment="1" applyProtection="1">
      <alignment horizontal="left" wrapText="1"/>
      <protection locked="0"/>
    </xf>
    <xf numFmtId="0" fontId="7" fillId="0" borderId="28" xfId="0" applyFont="1" applyBorder="1"/>
    <xf numFmtId="0" fontId="7" fillId="0" borderId="9" xfId="0" applyFont="1" applyBorder="1" applyAlignment="1">
      <alignment horizontal="left" wrapText="1"/>
    </xf>
    <xf numFmtId="0" fontId="7" fillId="0" borderId="13" xfId="0" applyFont="1" applyBorder="1" applyAlignment="1">
      <alignment horizontal="left" wrapText="1"/>
    </xf>
    <xf numFmtId="0" fontId="7" fillId="0" borderId="0" xfId="0" applyFont="1" applyAlignment="1">
      <alignment wrapText="1"/>
    </xf>
    <xf numFmtId="0" fontId="7" fillId="0" borderId="8" xfId="0" applyFont="1" applyBorder="1" applyAlignment="1">
      <alignment horizontal="left" indent="1"/>
    </xf>
    <xf numFmtId="0" fontId="7" fillId="0" borderId="8" xfId="0" applyFont="1" applyBorder="1"/>
    <xf numFmtId="0" fontId="7" fillId="0" borderId="2" xfId="0" applyFont="1" applyBorder="1" applyAlignment="1">
      <alignment horizontal="right"/>
    </xf>
    <xf numFmtId="0" fontId="7" fillId="0" borderId="13" xfId="0" applyFont="1" applyBorder="1" applyAlignment="1">
      <alignment wrapText="1"/>
    </xf>
    <xf numFmtId="37" fontId="7" fillId="0" borderId="0" xfId="0" applyNumberFormat="1" applyFont="1" applyAlignment="1">
      <alignment horizontal="center"/>
    </xf>
    <xf numFmtId="0" fontId="7" fillId="0" borderId="0" xfId="0" applyFont="1" applyAlignment="1">
      <alignment horizontal="right"/>
    </xf>
    <xf numFmtId="0" fontId="4" fillId="0" borderId="0" xfId="0" applyFont="1" applyAlignment="1">
      <alignment wrapText="1"/>
    </xf>
    <xf numFmtId="0" fontId="7" fillId="0" borderId="13" xfId="0" applyFont="1" applyBorder="1" applyAlignment="1">
      <alignment vertical="center"/>
    </xf>
    <xf numFmtId="0" fontId="7" fillId="0" borderId="0" xfId="0" applyFont="1" applyAlignment="1">
      <alignment vertical="top"/>
    </xf>
    <xf numFmtId="0" fontId="6" fillId="0" borderId="2" xfId="0" applyFont="1" applyBorder="1" applyAlignment="1">
      <alignment horizontal="center"/>
    </xf>
    <xf numFmtId="0" fontId="6" fillId="0" borderId="2" xfId="0" applyFont="1" applyBorder="1" applyAlignment="1">
      <alignment horizontal="left"/>
    </xf>
    <xf numFmtId="0" fontId="7" fillId="0" borderId="2"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Alignment="1">
      <alignment horizontal="left"/>
    </xf>
    <xf numFmtId="0" fontId="7" fillId="0" borderId="13" xfId="0" applyFont="1" applyBorder="1" applyAlignment="1">
      <alignment horizontal="left"/>
    </xf>
    <xf numFmtId="37" fontId="4" fillId="0" borderId="2" xfId="0" applyNumberFormat="1" applyFont="1" applyBorder="1" applyAlignment="1" applyProtection="1">
      <alignment horizontal="right"/>
      <protection locked="0"/>
    </xf>
    <xf numFmtId="0" fontId="7" fillId="0" borderId="3" xfId="0" applyFont="1" applyBorder="1" applyAlignment="1">
      <alignment horizontal="left"/>
    </xf>
    <xf numFmtId="37" fontId="5" fillId="0" borderId="8" xfId="0" applyNumberFormat="1" applyFont="1" applyBorder="1" applyAlignment="1" applyProtection="1">
      <alignment horizontal="right"/>
      <protection locked="0"/>
    </xf>
    <xf numFmtId="0" fontId="6" fillId="0" borderId="14" xfId="0" applyFont="1" applyBorder="1" applyAlignment="1">
      <alignment horizontal="center"/>
    </xf>
    <xf numFmtId="0" fontId="1" fillId="0" borderId="8" xfId="0" applyFont="1" applyBorder="1" applyAlignment="1">
      <alignment horizontal="left"/>
    </xf>
    <xf numFmtId="0" fontId="1" fillId="0" borderId="10" xfId="0" applyFont="1" applyBorder="1" applyAlignment="1">
      <alignment horizontal="left"/>
    </xf>
    <xf numFmtId="0" fontId="7" fillId="0" borderId="8" xfId="0" applyFont="1" applyBorder="1" applyAlignment="1">
      <alignment horizontal="left"/>
    </xf>
    <xf numFmtId="0" fontId="6" fillId="0" borderId="8" xfId="0" applyFont="1" applyBorder="1"/>
    <xf numFmtId="0" fontId="6" fillId="0" borderId="9" xfId="0" applyFont="1" applyBorder="1"/>
    <xf numFmtId="0" fontId="7" fillId="0" borderId="2" xfId="0" applyFont="1" applyBorder="1"/>
    <xf numFmtId="0" fontId="8" fillId="0" borderId="2" xfId="0" applyFont="1" applyBorder="1"/>
    <xf numFmtId="0" fontId="11" fillId="0" borderId="0" xfId="0" applyFont="1"/>
    <xf numFmtId="0" fontId="15" fillId="0" borderId="0" xfId="0" applyFont="1" applyAlignment="1">
      <alignment horizontal="center" vertical="center"/>
    </xf>
    <xf numFmtId="37" fontId="7" fillId="0" borderId="40" xfId="0" applyNumberFormat="1" applyFont="1" applyBorder="1" applyAlignment="1">
      <alignment horizontal="center"/>
    </xf>
    <xf numFmtId="0" fontId="7" fillId="0" borderId="13" xfId="0" applyFont="1" applyBorder="1" applyAlignment="1" applyProtection="1">
      <alignment horizontal="left"/>
      <protection locked="0"/>
    </xf>
    <xf numFmtId="37" fontId="1" fillId="0" borderId="2" xfId="0" applyNumberFormat="1" applyFont="1" applyBorder="1" applyProtection="1">
      <protection hidden="1"/>
    </xf>
    <xf numFmtId="0" fontId="1" fillId="0" borderId="10" xfId="0" applyFont="1" applyBorder="1" applyAlignment="1">
      <alignment horizontal="left" indent="2"/>
    </xf>
    <xf numFmtId="0" fontId="2" fillId="0" borderId="10" xfId="0" applyFont="1" applyBorder="1" applyAlignment="1">
      <alignment horizontal="left"/>
    </xf>
    <xf numFmtId="0" fontId="1" fillId="0" borderId="2" xfId="0" applyFont="1" applyBorder="1" applyAlignment="1" applyProtection="1">
      <alignment horizontal="right"/>
      <protection hidden="1"/>
    </xf>
    <xf numFmtId="0" fontId="1" fillId="0" borderId="0" xfId="0" applyFont="1" applyProtection="1">
      <protection hidden="1"/>
    </xf>
    <xf numFmtId="0" fontId="1" fillId="0" borderId="0" xfId="0" applyFont="1" applyAlignment="1">
      <alignment horizontal="right"/>
    </xf>
    <xf numFmtId="0" fontId="23" fillId="0" borderId="2" xfId="0" applyFont="1" applyBorder="1" applyAlignment="1">
      <alignment horizontal="right" wrapText="1"/>
    </xf>
    <xf numFmtId="0" fontId="24" fillId="0" borderId="0" xfId="0" applyFont="1"/>
    <xf numFmtId="0" fontId="23" fillId="0" borderId="6" xfId="0" applyFont="1" applyBorder="1" applyAlignment="1">
      <alignment horizontal="right"/>
    </xf>
    <xf numFmtId="37" fontId="5" fillId="0" borderId="2" xfId="0" applyNumberFormat="1" applyFont="1" applyBorder="1"/>
    <xf numFmtId="0" fontId="9" fillId="0" borderId="0" xfId="0" applyFont="1" applyAlignment="1">
      <alignment horizontal="left" vertical="top" wrapText="1"/>
    </xf>
    <xf numFmtId="0" fontId="9" fillId="0" borderId="0" xfId="0" applyFont="1" applyAlignment="1">
      <alignment horizontal="center" vertical="top" wrapText="1"/>
    </xf>
    <xf numFmtId="0" fontId="7" fillId="0" borderId="10" xfId="0" applyFont="1" applyBorder="1" applyAlignment="1">
      <alignment horizontal="left" indent="1"/>
    </xf>
    <xf numFmtId="0" fontId="12" fillId="0" borderId="2" xfId="0" applyFont="1" applyBorder="1"/>
    <xf numFmtId="0" fontId="12" fillId="0" borderId="0" xfId="0" applyFont="1"/>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7" fillId="0" borderId="8" xfId="0" applyFont="1" applyBorder="1" applyAlignment="1" applyProtection="1">
      <alignment horizontal="left" wrapText="1"/>
      <protection locked="0"/>
    </xf>
    <xf numFmtId="0" fontId="7" fillId="0" borderId="13" xfId="0" applyFont="1" applyBorder="1" applyAlignment="1">
      <alignment horizontal="right"/>
    </xf>
    <xf numFmtId="0" fontId="0" fillId="0" borderId="0" xfId="0" applyAlignment="1">
      <alignment wrapText="1"/>
    </xf>
    <xf numFmtId="0" fontId="5" fillId="0" borderId="2" xfId="0" applyFont="1" applyBorder="1" applyProtection="1">
      <protection locked="0"/>
    </xf>
    <xf numFmtId="0" fontId="7" fillId="0" borderId="11" xfId="0" applyFont="1" applyBorder="1"/>
    <xf numFmtId="0" fontId="6" fillId="0" borderId="19" xfId="0" applyFont="1" applyBorder="1" applyAlignment="1">
      <alignment vertical="center" wrapText="1"/>
    </xf>
    <xf numFmtId="0" fontId="6" fillId="0" borderId="2" xfId="0" applyFont="1" applyBorder="1" applyAlignment="1">
      <alignment vertical="center" wrapText="1"/>
    </xf>
    <xf numFmtId="0" fontId="6" fillId="0" borderId="20" xfId="0" applyFont="1" applyBorder="1" applyAlignment="1">
      <alignment horizontal="center" vertical="center"/>
    </xf>
    <xf numFmtId="0" fontId="7" fillId="0" borderId="2" xfId="0" applyFont="1" applyBorder="1" applyAlignment="1">
      <alignment horizontal="center"/>
    </xf>
    <xf numFmtId="1" fontId="7" fillId="0" borderId="6" xfId="0" applyNumberFormat="1" applyFont="1" applyBorder="1" applyAlignment="1">
      <alignment horizontal="center"/>
    </xf>
    <xf numFmtId="1" fontId="7" fillId="0" borderId="6" xfId="0" applyNumberFormat="1" applyFont="1" applyBorder="1"/>
    <xf numFmtId="1" fontId="7" fillId="0" borderId="20" xfId="0" applyNumberFormat="1" applyFont="1" applyBorder="1"/>
    <xf numFmtId="0" fontId="7" fillId="0" borderId="0" xfId="0" applyFont="1" applyAlignment="1">
      <alignment vertical="top" wrapText="1"/>
    </xf>
    <xf numFmtId="0" fontId="1" fillId="0" borderId="10" xfId="0" applyFont="1" applyBorder="1" applyAlignment="1" applyProtection="1">
      <alignment vertical="center" wrapText="1"/>
      <protection hidden="1"/>
    </xf>
    <xf numFmtId="0" fontId="1" fillId="0" borderId="3" xfId="0" applyFont="1" applyBorder="1" applyAlignment="1">
      <alignment vertical="center"/>
    </xf>
    <xf numFmtId="169" fontId="7" fillId="0" borderId="0" xfId="0" applyNumberFormat="1" applyFont="1"/>
    <xf numFmtId="0" fontId="7" fillId="0" borderId="2" xfId="0" applyFont="1" applyBorder="1" applyAlignment="1">
      <alignment horizontal="left" vertical="center" wrapText="1"/>
    </xf>
    <xf numFmtId="0" fontId="2" fillId="0" borderId="2" xfId="0" applyFont="1" applyBorder="1"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2" fillId="0" borderId="8" xfId="0" applyFont="1" applyBorder="1" applyAlignment="1">
      <alignment horizontal="center" wrapText="1"/>
    </xf>
    <xf numFmtId="0" fontId="6" fillId="0" borderId="30" xfId="0" applyFont="1" applyBorder="1" applyAlignment="1">
      <alignment vertical="center" wrapText="1"/>
    </xf>
    <xf numFmtId="0" fontId="7" fillId="0" borderId="25" xfId="0" applyFont="1" applyBorder="1" applyAlignment="1">
      <alignment vertical="center" wrapText="1"/>
    </xf>
    <xf numFmtId="0" fontId="6" fillId="0" borderId="25" xfId="0" applyFont="1" applyBorder="1" applyAlignment="1">
      <alignment vertical="center" wrapText="1"/>
    </xf>
    <xf numFmtId="0" fontId="7" fillId="0" borderId="30"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14" fontId="7" fillId="0" borderId="0" xfId="0" applyNumberFormat="1" applyFont="1" applyAlignment="1">
      <alignment horizontal="center"/>
    </xf>
    <xf numFmtId="0" fontId="27" fillId="0" borderId="0" xfId="0" applyFont="1" applyAlignment="1">
      <alignment horizontal="center" wrapText="1"/>
    </xf>
    <xf numFmtId="0" fontId="27" fillId="0" borderId="0" xfId="0" applyFont="1" applyAlignment="1">
      <alignment horizontal="left"/>
    </xf>
    <xf numFmtId="2" fontId="7" fillId="0" borderId="0" xfId="0" applyNumberFormat="1" applyFont="1"/>
    <xf numFmtId="37" fontId="7" fillId="0" borderId="8" xfId="0" applyNumberFormat="1" applyFont="1" applyBorder="1" applyAlignment="1">
      <alignment horizontal="center"/>
    </xf>
    <xf numFmtId="37" fontId="7" fillId="0" borderId="10" xfId="0" applyNumberFormat="1" applyFont="1" applyBorder="1" applyAlignment="1">
      <alignment horizontal="center"/>
    </xf>
    <xf numFmtId="0" fontId="6" fillId="0" borderId="38" xfId="0" applyFont="1" applyBorder="1"/>
    <xf numFmtId="0" fontId="7" fillId="0" borderId="9" xfId="0" applyFont="1" applyBorder="1" applyAlignment="1">
      <alignment horizontal="right"/>
    </xf>
    <xf numFmtId="0" fontId="7" fillId="0" borderId="13" xfId="0" applyFont="1" applyBorder="1" applyAlignment="1">
      <alignment horizontal="left" indent="2"/>
    </xf>
    <xf numFmtId="0" fontId="7" fillId="0" borderId="2" xfId="0" applyFont="1" applyBorder="1" applyAlignment="1">
      <alignment vertical="center" wrapText="1"/>
    </xf>
    <xf numFmtId="1" fontId="7" fillId="0" borderId="2" xfId="0" applyNumberFormat="1" applyFont="1" applyBorder="1" applyAlignment="1">
      <alignment horizontal="center"/>
    </xf>
    <xf numFmtId="1" fontId="7" fillId="0" borderId="2" xfId="0" applyNumberFormat="1" applyFont="1" applyBorder="1"/>
    <xf numFmtId="0" fontId="7" fillId="0" borderId="8" xfId="0" applyFont="1" applyBorder="1" applyAlignment="1">
      <alignment horizontal="center" wrapText="1"/>
    </xf>
    <xf numFmtId="1" fontId="7" fillId="0" borderId="8" xfId="0" applyNumberFormat="1" applyFont="1" applyBorder="1" applyAlignment="1">
      <alignment horizontal="center" wrapText="1"/>
    </xf>
    <xf numFmtId="1" fontId="7" fillId="0" borderId="8" xfId="0" applyNumberFormat="1" applyFont="1" applyBorder="1" applyAlignment="1">
      <alignment wrapText="1"/>
    </xf>
    <xf numFmtId="0" fontId="7" fillId="0" borderId="2" xfId="0" applyFont="1" applyBorder="1" applyAlignment="1">
      <alignment vertical="center"/>
    </xf>
    <xf numFmtId="0" fontId="7" fillId="0" borderId="9" xfId="0" applyFont="1" applyBorder="1" applyAlignment="1">
      <alignment vertical="center" wrapText="1"/>
    </xf>
    <xf numFmtId="164" fontId="7" fillId="0" borderId="20" xfId="0" applyNumberFormat="1" applyFont="1" applyBorder="1"/>
    <xf numFmtId="0" fontId="1" fillId="0" borderId="2" xfId="0" applyFont="1" applyBorder="1" applyAlignment="1">
      <alignment horizontal="left"/>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7" fillId="0" borderId="0" xfId="0" applyFont="1" applyAlignment="1">
      <alignment wrapText="1"/>
    </xf>
    <xf numFmtId="0" fontId="0" fillId="0" borderId="0" xfId="0" applyAlignment="1">
      <alignment horizontal="center" vertical="center"/>
    </xf>
    <xf numFmtId="14" fontId="38" fillId="0" borderId="0" xfId="0" applyNumberFormat="1" applyFont="1" applyAlignment="1">
      <alignment horizontal="center"/>
    </xf>
    <xf numFmtId="0" fontId="38" fillId="0" borderId="0" xfId="0" applyFont="1" applyAlignment="1">
      <alignment horizontal="center"/>
    </xf>
    <xf numFmtId="0" fontId="39" fillId="0" borderId="0" xfId="0" applyFont="1"/>
    <xf numFmtId="0" fontId="7" fillId="12" borderId="8" xfId="0" applyNumberFormat="1" applyFont="1" applyFill="1" applyBorder="1" applyAlignment="1" applyProtection="1">
      <alignment horizontal="center"/>
    </xf>
    <xf numFmtId="0" fontId="7" fillId="12" borderId="9" xfId="0" applyNumberFormat="1" applyFont="1" applyFill="1" applyBorder="1" applyAlignment="1" applyProtection="1">
      <alignment horizontal="center"/>
    </xf>
    <xf numFmtId="0" fontId="7" fillId="12" borderId="10" xfId="0" applyNumberFormat="1" applyFont="1" applyFill="1" applyBorder="1" applyAlignment="1" applyProtection="1">
      <alignment horizontal="center"/>
    </xf>
    <xf numFmtId="0" fontId="7" fillId="13" borderId="25" xfId="0" applyNumberFormat="1" applyFont="1" applyFill="1" applyBorder="1" applyAlignment="1" applyProtection="1">
      <alignment vertical="center" wrapText="1"/>
    </xf>
    <xf numFmtId="0" fontId="7" fillId="13" borderId="30" xfId="0" applyNumberFormat="1" applyFont="1" applyFill="1" applyBorder="1" applyAlignment="1" applyProtection="1">
      <alignment vertical="center" wrapText="1"/>
    </xf>
    <xf numFmtId="0" fontId="9" fillId="2" borderId="34" xfId="0" applyNumberFormat="1" applyFont="1" applyFill="1" applyBorder="1" applyAlignment="1" applyProtection="1">
      <alignment horizontal="right" wrapText="1"/>
    </xf>
    <xf numFmtId="0" fontId="9" fillId="2" borderId="35" xfId="0" applyNumberFormat="1" applyFont="1" applyFill="1" applyBorder="1" applyAlignment="1" applyProtection="1">
      <alignment horizontal="right" wrapText="1"/>
    </xf>
    <xf numFmtId="0" fontId="9" fillId="2" borderId="36" xfId="0" applyNumberFormat="1" applyFont="1" applyFill="1" applyBorder="1" applyAlignment="1" applyProtection="1">
      <alignment horizontal="right" wrapText="1"/>
    </xf>
    <xf numFmtId="0" fontId="1" fillId="6" borderId="0" xfId="0" applyNumberFormat="1" applyFont="1" applyFill="1" applyAlignment="1" applyProtection="1"/>
    <xf numFmtId="0" fontId="0" fillId="6" borderId="0" xfId="0" applyNumberFormat="1" applyFill="1" applyAlignment="1" applyProtection="1"/>
    <xf numFmtId="0" fontId="1" fillId="6" borderId="0" xfId="0" applyNumberFormat="1" applyFont="1" applyFill="1" applyAlignment="1" applyProtection="1">
      <alignment wrapText="1"/>
    </xf>
    <xf numFmtId="0" fontId="1" fillId="6" borderId="0" xfId="0" applyNumberFormat="1" applyFont="1" applyFill="1" applyAlignment="1" applyProtection="1">
      <alignment horizontal="right" vertical="center" wrapText="1"/>
    </xf>
    <xf numFmtId="0" fontId="1" fillId="6" borderId="0" xfId="0" applyNumberFormat="1" applyFont="1" applyFill="1" applyAlignment="1" applyProtection="1">
      <alignment horizontal="center" vertical="center"/>
    </xf>
    <xf numFmtId="0" fontId="17" fillId="6" borderId="0" xfId="0" applyNumberFormat="1" applyFont="1" applyFill="1" applyAlignment="1" applyProtection="1"/>
    <xf numFmtId="0" fontId="2" fillId="2" borderId="8" xfId="0" applyNumberFormat="1" applyFont="1" applyFill="1" applyBorder="1" applyAlignment="1" applyProtection="1">
      <alignment horizontal="left" vertical="top"/>
    </xf>
    <xf numFmtId="0" fontId="2" fillId="2" borderId="9" xfId="0" applyNumberFormat="1" applyFont="1" applyFill="1" applyBorder="1" applyAlignment="1" applyProtection="1">
      <alignment horizontal="left"/>
    </xf>
    <xf numFmtId="164" fontId="2" fillId="2" borderId="10" xfId="0" applyNumberFormat="1" applyFont="1" applyFill="1" applyBorder="1" applyAlignment="1" applyProtection="1">
      <alignment horizontal="left"/>
    </xf>
    <xf numFmtId="0" fontId="19" fillId="7" borderId="0" xfId="0" applyNumberFormat="1" applyFont="1" applyFill="1" applyAlignment="1" applyProtection="1"/>
    <xf numFmtId="0" fontId="1" fillId="7" borderId="0" xfId="0" applyNumberFormat="1" applyFont="1" applyFill="1" applyAlignment="1" applyProtection="1">
      <alignment wrapText="1"/>
    </xf>
    <xf numFmtId="0" fontId="19" fillId="7" borderId="0" xfId="0" applyNumberFormat="1" applyFont="1" applyFill="1" applyAlignment="1" applyProtection="1">
      <alignment horizontal="right" vertical="center" wrapText="1"/>
    </xf>
    <xf numFmtId="0" fontId="2" fillId="10" borderId="2" xfId="0" applyNumberFormat="1" applyFont="1" applyFill="1" applyBorder="1" applyAlignment="1" applyProtection="1">
      <alignment wrapText="1"/>
    </xf>
    <xf numFmtId="0" fontId="2" fillId="0" borderId="10" xfId="0" applyNumberFormat="1" applyFont="1" applyFill="1" applyBorder="1" applyAlignment="1" applyProtection="1">
      <alignment horizontal="left" wrapText="1"/>
      <protection locked="0"/>
    </xf>
    <xf numFmtId="0" fontId="2" fillId="5" borderId="5" xfId="0" applyNumberFormat="1" applyFont="1" applyFill="1" applyBorder="1" applyAlignment="1" applyProtection="1">
      <alignment horizontal="left"/>
    </xf>
    <xf numFmtId="0" fontId="2" fillId="5" borderId="4" xfId="0" applyNumberFormat="1" applyFont="1" applyFill="1" applyBorder="1" applyAlignment="1" applyProtection="1">
      <alignment horizontal="left"/>
      <protection hidden="1"/>
    </xf>
    <xf numFmtId="0" fontId="1" fillId="7" borderId="0" xfId="0" applyNumberFormat="1" applyFont="1" applyFill="1" applyAlignment="1" applyProtection="1"/>
    <xf numFmtId="0" fontId="1" fillId="7" borderId="0" xfId="0" applyNumberFormat="1" applyFont="1" applyFill="1" applyAlignment="1" applyProtection="1">
      <alignment horizontal="right" vertical="center" wrapText="1"/>
    </xf>
    <xf numFmtId="0" fontId="2" fillId="8" borderId="2" xfId="0" applyNumberFormat="1" applyFont="1" applyFill="1" applyBorder="1" applyAlignment="1" applyProtection="1"/>
    <xf numFmtId="165" fontId="1" fillId="0" borderId="2" xfId="0" applyNumberFormat="1" applyFont="1" applyFill="1" applyBorder="1" applyAlignment="1" applyProtection="1">
      <alignment horizontal="left"/>
      <protection locked="0"/>
    </xf>
    <xf numFmtId="0" fontId="2" fillId="5" borderId="5" xfId="0" applyNumberFormat="1" applyFont="1" applyFill="1" applyBorder="1" applyAlignment="1" applyProtection="1">
      <alignment horizontal="left"/>
      <protection hidden="1"/>
    </xf>
    <xf numFmtId="166" fontId="1" fillId="0" borderId="2" xfId="0" applyNumberFormat="1" applyFont="1" applyFill="1" applyBorder="1" applyAlignment="1" applyProtection="1">
      <alignment horizontal="left"/>
      <protection locked="0"/>
    </xf>
    <xf numFmtId="0" fontId="2" fillId="5" borderId="6" xfId="0" applyNumberFormat="1" applyFont="1" applyFill="1" applyBorder="1" applyAlignment="1" applyProtection="1"/>
    <xf numFmtId="0" fontId="2" fillId="6" borderId="0" xfId="0" applyNumberFormat="1" applyFont="1" applyFill="1" applyAlignment="1" applyProtection="1">
      <alignment vertical="top"/>
    </xf>
    <xf numFmtId="1" fontId="2" fillId="6" borderId="0" xfId="0" applyNumberFormat="1" applyFont="1" applyFill="1" applyAlignment="1" applyProtection="1">
      <alignment horizontal="left" vertical="top"/>
    </xf>
    <xf numFmtId="0" fontId="2" fillId="0" borderId="13" xfId="0" applyNumberFormat="1" applyFont="1" applyFill="1" applyBorder="1" applyAlignment="1" applyProtection="1">
      <alignment horizontal="left"/>
    </xf>
    <xf numFmtId="0" fontId="2" fillId="0" borderId="0" xfId="0" applyNumberFormat="1" applyFont="1" applyFill="1" applyAlignment="1" applyProtection="1"/>
    <xf numFmtId="0" fontId="1" fillId="0" borderId="0" xfId="0" applyNumberFormat="1" applyFont="1" applyFill="1" applyAlignment="1" applyProtection="1">
      <alignment wrapText="1"/>
    </xf>
    <xf numFmtId="0" fontId="1" fillId="0" borderId="0" xfId="0" applyNumberFormat="1" applyFont="1" applyFill="1" applyAlignment="1" applyProtection="1">
      <alignment horizontal="right" vertical="center" wrapText="1"/>
    </xf>
    <xf numFmtId="0" fontId="2" fillId="6" borderId="0" xfId="0" applyNumberFormat="1" applyFont="1" applyFill="1" applyAlignment="1" applyProtection="1">
      <alignment horizontal="left"/>
    </xf>
    <xf numFmtId="0" fontId="2" fillId="6" borderId="0" xfId="0" applyNumberFormat="1" applyFont="1" applyFill="1" applyAlignment="1" applyProtection="1"/>
    <xf numFmtId="1" fontId="2" fillId="6" borderId="0" xfId="0" applyNumberFormat="1" applyFont="1" applyFill="1" applyAlignment="1" applyProtection="1">
      <alignment horizontal="left"/>
    </xf>
    <xf numFmtId="0" fontId="20" fillId="6" borderId="0" xfId="0" applyNumberFormat="1" applyFont="1" applyFill="1" applyAlignment="1" applyProtection="1">
      <alignment horizontal="right"/>
    </xf>
    <xf numFmtId="0" fontId="20" fillId="6" borderId="0" xfId="0" applyNumberFormat="1" applyFont="1" applyFill="1" applyAlignment="1" applyProtection="1"/>
    <xf numFmtId="0" fontId="7" fillId="0" borderId="0" xfId="0" applyNumberFormat="1" applyFont="1" applyFill="1" applyAlignment="1" applyProtection="1">
      <alignment horizontal="center" vertical="center"/>
    </xf>
    <xf numFmtId="0" fontId="1" fillId="6" borderId="0" xfId="0" applyNumberFormat="1" applyFont="1" applyFill="1" applyAlignment="1" applyProtection="1">
      <alignment horizontal="left"/>
    </xf>
    <xf numFmtId="0" fontId="1" fillId="6" borderId="0" xfId="0" applyNumberFormat="1" applyFont="1" applyFill="1" applyAlignment="1" applyProtection="1">
      <alignment horizontal="left" indent="1"/>
    </xf>
    <xf numFmtId="37" fontId="1" fillId="6" borderId="0" xfId="0" applyNumberFormat="1" applyFont="1" applyFill="1" applyAlignment="1" applyProtection="1"/>
    <xf numFmtId="37" fontId="1" fillId="0" borderId="0" xfId="0" applyNumberFormat="1" applyFont="1" applyFill="1" applyAlignment="1" applyProtection="1"/>
    <xf numFmtId="0" fontId="13" fillId="6" borderId="0" xfId="0" applyNumberFormat="1" applyFont="1" applyFill="1" applyAlignment="1" applyProtection="1"/>
    <xf numFmtId="0" fontId="13" fillId="0" borderId="0" xfId="0" applyNumberFormat="1" applyFont="1" applyFill="1" applyAlignment="1" applyProtection="1"/>
    <xf numFmtId="0" fontId="40" fillId="6" borderId="0" xfId="0" applyNumberFormat="1" applyFont="1" applyFill="1" applyAlignment="1" applyProtection="1"/>
    <xf numFmtId="0" fontId="29" fillId="6" borderId="0" xfId="0" applyNumberFormat="1" applyFont="1" applyFill="1" applyAlignment="1" applyProtection="1"/>
    <xf numFmtId="0" fontId="1" fillId="6" borderId="0" xfId="0" applyNumberFormat="1" applyFont="1" applyFill="1" applyAlignment="1" applyProtection="1">
      <alignment horizontal="center"/>
    </xf>
    <xf numFmtId="0" fontId="1" fillId="6" borderId="3" xfId="0" applyNumberFormat="1" applyFont="1" applyFill="1" applyBorder="1" applyAlignment="1" applyProtection="1">
      <alignment horizontal="center"/>
    </xf>
    <xf numFmtId="37" fontId="1" fillId="6" borderId="3" xfId="0" applyNumberFormat="1" applyFont="1" applyFill="1" applyBorder="1" applyAlignment="1" applyProtection="1">
      <alignment horizontal="center"/>
    </xf>
    <xf numFmtId="37" fontId="1" fillId="6" borderId="3" xfId="0" applyNumberFormat="1" applyFont="1" applyFill="1" applyBorder="1" applyAlignment="1" applyProtection="1">
      <alignment horizontal="left"/>
    </xf>
    <xf numFmtId="0" fontId="2" fillId="2" borderId="1" xfId="0" applyNumberFormat="1" applyFont="1" applyFill="1" applyBorder="1" applyAlignment="1" applyProtection="1"/>
    <xf numFmtId="0" fontId="2" fillId="2" borderId="13" xfId="0" applyNumberFormat="1" applyFont="1" applyFill="1" applyBorder="1" applyAlignment="1" applyProtection="1"/>
    <xf numFmtId="0" fontId="2" fillId="2" borderId="13" xfId="0" applyNumberFormat="1" applyFont="1" applyFill="1" applyBorder="1" applyAlignment="1" applyProtection="1">
      <alignment horizontal="left"/>
    </xf>
    <xf numFmtId="0" fontId="1" fillId="2" borderId="13" xfId="0" applyNumberFormat="1" applyFont="1" applyFill="1" applyBorder="1" applyAlignment="1" applyProtection="1"/>
    <xf numFmtId="0" fontId="1" fillId="2" borderId="12" xfId="0" applyNumberFormat="1" applyFont="1" applyFill="1" applyBorder="1" applyAlignment="1" applyProtection="1">
      <alignment wrapText="1"/>
    </xf>
    <xf numFmtId="0" fontId="1" fillId="7" borderId="4" xfId="0" applyNumberFormat="1" applyFont="1" applyFill="1" applyBorder="1" applyAlignment="1" applyProtection="1">
      <alignment horizontal="right" vertical="center" wrapText="1"/>
    </xf>
    <xf numFmtId="0" fontId="1" fillId="2" borderId="14" xfId="0" applyNumberFormat="1" applyFont="1" applyFill="1" applyBorder="1" applyAlignment="1" applyProtection="1"/>
    <xf numFmtId="49" fontId="1" fillId="2" borderId="0" xfId="0" applyNumberFormat="1" applyFont="1" applyFill="1" applyAlignment="1" applyProtection="1">
      <alignment horizontal="left"/>
    </xf>
    <xf numFmtId="0" fontId="1" fillId="2" borderId="0" xfId="0" applyNumberFormat="1" applyFont="1" applyFill="1" applyAlignment="1" applyProtection="1">
      <alignment horizontal="left"/>
    </xf>
    <xf numFmtId="0" fontId="1" fillId="2" borderId="0" xfId="0" applyNumberFormat="1" applyFont="1" applyFill="1" applyAlignment="1" applyProtection="1"/>
    <xf numFmtId="0" fontId="1" fillId="2" borderId="15" xfId="0" applyNumberFormat="1" applyFont="1" applyFill="1" applyBorder="1" applyAlignment="1" applyProtection="1">
      <alignment horizontal="left" wrapText="1"/>
    </xf>
    <xf numFmtId="0" fontId="1" fillId="7" borderId="5" xfId="0" applyNumberFormat="1" applyFont="1" applyFill="1" applyBorder="1" applyAlignment="1" applyProtection="1">
      <alignment horizontal="right" vertical="center" wrapText="1"/>
    </xf>
    <xf numFmtId="0" fontId="2" fillId="2" borderId="16" xfId="0" applyNumberFormat="1" applyFont="1" applyFill="1" applyBorder="1" applyAlignment="1" applyProtection="1"/>
    <xf numFmtId="0" fontId="2" fillId="2" borderId="3" xfId="0" applyNumberFormat="1" applyFont="1" applyFill="1" applyBorder="1" applyAlignment="1" applyProtection="1"/>
    <xf numFmtId="0" fontId="2" fillId="2" borderId="3" xfId="0" applyNumberFormat="1" applyFont="1" applyFill="1" applyBorder="1" applyAlignment="1" applyProtection="1">
      <alignment horizontal="left"/>
    </xf>
    <xf numFmtId="0" fontId="1" fillId="2" borderId="3" xfId="0" applyNumberFormat="1" applyFont="1" applyFill="1" applyBorder="1" applyAlignment="1" applyProtection="1"/>
    <xf numFmtId="0" fontId="2" fillId="2" borderId="11" xfId="0" applyNumberFormat="1" applyFont="1" applyFill="1" applyBorder="1" applyAlignment="1" applyProtection="1">
      <alignment horizontal="left" wrapText="1"/>
    </xf>
    <xf numFmtId="0" fontId="30" fillId="7" borderId="6" xfId="0" applyNumberFormat="1" applyFont="1" applyFill="1" applyBorder="1" applyAlignment="1" applyProtection="1">
      <alignment horizontal="center"/>
    </xf>
    <xf numFmtId="0" fontId="1" fillId="6" borderId="8" xfId="0" applyNumberFormat="1" applyFont="1" applyFill="1" applyBorder="1" applyAlignment="1" applyProtection="1">
      <alignment horizontal="left" vertical="center"/>
    </xf>
    <xf numFmtId="0" fontId="1" fillId="6" borderId="9" xfId="0" applyNumberFormat="1" applyFont="1" applyFill="1" applyBorder="1" applyAlignment="1" applyProtection="1">
      <alignment horizontal="left" vertical="center"/>
    </xf>
    <xf numFmtId="0" fontId="1" fillId="6" borderId="9" xfId="0" applyNumberFormat="1" applyFont="1" applyFill="1" applyBorder="1" applyAlignment="1" applyProtection="1">
      <alignment vertical="center"/>
    </xf>
    <xf numFmtId="0" fontId="1" fillId="6" borderId="10" xfId="0" applyNumberFormat="1" applyFont="1" applyFill="1" applyBorder="1" applyAlignment="1" applyProtection="1">
      <alignment vertical="center" wrapText="1"/>
      <protection hidden="1"/>
    </xf>
    <xf numFmtId="0" fontId="1" fillId="6" borderId="2" xfId="0" applyNumberFormat="1" applyFont="1" applyFill="1" applyBorder="1" applyAlignment="1" applyProtection="1">
      <alignment horizontal="right" vertical="center" wrapText="1"/>
    </xf>
    <xf numFmtId="37" fontId="1" fillId="6" borderId="9" xfId="0" applyNumberFormat="1" applyFont="1" applyFill="1" applyBorder="1" applyAlignment="1" applyProtection="1">
      <alignment vertical="center" wrapText="1"/>
      <protection hidden="1"/>
    </xf>
    <xf numFmtId="0" fontId="1" fillId="6" borderId="1" xfId="0" applyNumberFormat="1" applyFont="1" applyFill="1" applyBorder="1" applyAlignment="1" applyProtection="1">
      <alignment vertical="center"/>
    </xf>
    <xf numFmtId="0" fontId="1" fillId="6" borderId="3" xfId="0" applyNumberFormat="1" applyFont="1" applyFill="1" applyBorder="1" applyAlignment="1" applyProtection="1">
      <alignment vertical="center"/>
    </xf>
    <xf numFmtId="37" fontId="1" fillId="6" borderId="2" xfId="0" applyNumberFormat="1" applyFont="1" applyFill="1" applyBorder="1" applyAlignment="1" applyProtection="1">
      <alignment horizontal="right" vertical="center" wrapText="1"/>
    </xf>
    <xf numFmtId="0" fontId="1" fillId="0" borderId="1" xfId="0" applyNumberFormat="1" applyFont="1" applyFill="1" applyBorder="1" applyAlignment="1" applyProtection="1">
      <alignment vertical="center"/>
    </xf>
    <xf numFmtId="0" fontId="1" fillId="0" borderId="8" xfId="0" applyNumberFormat="1" applyFont="1" applyFill="1" applyBorder="1" applyAlignment="1" applyProtection="1">
      <alignment horizontal="left" vertical="center"/>
    </xf>
    <xf numFmtId="0" fontId="1" fillId="0" borderId="9" xfId="0" applyNumberFormat="1" applyFont="1" applyFill="1" applyBorder="1" applyAlignment="1" applyProtection="1">
      <alignment vertical="center"/>
    </xf>
    <xf numFmtId="0" fontId="1" fillId="0" borderId="8" xfId="0" applyNumberFormat="1" applyFont="1" applyFill="1" applyBorder="1" applyAlignment="1" applyProtection="1">
      <alignment vertical="center"/>
    </xf>
    <xf numFmtId="0" fontId="1" fillId="0" borderId="2" xfId="0" applyNumberFormat="1" applyFont="1" applyFill="1" applyBorder="1" applyAlignment="1" applyProtection="1">
      <alignment horizontal="right" vertical="center" wrapText="1"/>
    </xf>
    <xf numFmtId="0" fontId="1" fillId="0" borderId="9" xfId="0" applyNumberFormat="1" applyFont="1" applyFill="1" applyBorder="1" applyAlignment="1" applyProtection="1">
      <alignment horizontal="left" vertical="center" wrapText="1"/>
      <protection hidden="1"/>
    </xf>
    <xf numFmtId="0" fontId="1" fillId="0" borderId="0" xfId="0" applyNumberFormat="1" applyFont="1" applyFill="1" applyAlignment="1" applyProtection="1">
      <alignment horizontal="center" vertical="center"/>
    </xf>
    <xf numFmtId="0" fontId="1"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vertical="center" wrapText="1"/>
    </xf>
    <xf numFmtId="0" fontId="7" fillId="0" borderId="3" xfId="0" applyNumberFormat="1" applyFont="1" applyFill="1" applyBorder="1" applyAlignment="1" applyProtection="1">
      <alignment vertical="center"/>
    </xf>
    <xf numFmtId="1" fontId="1" fillId="6" borderId="2" xfId="0" applyNumberFormat="1" applyFont="1" applyFill="1" applyBorder="1" applyAlignment="1" applyProtection="1">
      <alignment horizontal="right" vertical="center" wrapText="1"/>
    </xf>
    <xf numFmtId="0" fontId="23" fillId="0" borderId="0" xfId="0" applyNumberFormat="1" applyFont="1" applyFill="1" applyAlignment="1" applyProtection="1"/>
    <xf numFmtId="0" fontId="9" fillId="2" borderId="1" xfId="0" applyNumberFormat="1" applyFont="1" applyFill="1" applyBorder="1" applyAlignment="1" applyProtection="1">
      <alignment horizontal="right" vertical="center"/>
    </xf>
    <xf numFmtId="0" fontId="9" fillId="2" borderId="13" xfId="0" applyNumberFormat="1" applyFont="1" applyFill="1" applyBorder="1" applyAlignment="1" applyProtection="1">
      <alignment vertical="center"/>
    </xf>
    <xf numFmtId="0" fontId="9" fillId="2" borderId="13" xfId="0" applyNumberFormat="1" applyFont="1" applyFill="1" applyBorder="1" applyAlignment="1" applyProtection="1">
      <alignment horizontal="left" vertical="top" wrapText="1"/>
    </xf>
    <xf numFmtId="0" fontId="9" fillId="2" borderId="4" xfId="0" applyNumberFormat="1" applyFont="1" applyFill="1" applyBorder="1" applyAlignment="1" applyProtection="1">
      <alignment vertical="top" wrapText="1"/>
    </xf>
    <xf numFmtId="0" fontId="9" fillId="2" borderId="12" xfId="0" applyNumberFormat="1" applyFont="1" applyFill="1" applyBorder="1" applyAlignment="1" applyProtection="1">
      <alignment vertical="top" wrapText="1"/>
    </xf>
    <xf numFmtId="0" fontId="7" fillId="14" borderId="28" xfId="0" applyNumberFormat="1" applyFont="1" applyFill="1" applyBorder="1" applyAlignment="1" applyProtection="1"/>
    <xf numFmtId="0" fontId="9" fillId="2" borderId="14" xfId="0" applyNumberFormat="1" applyFont="1" applyFill="1" applyBorder="1" applyAlignment="1" applyProtection="1">
      <alignment horizontal="right" vertical="top" wrapText="1"/>
    </xf>
    <xf numFmtId="0" fontId="9" fillId="2" borderId="0" xfId="0" applyNumberFormat="1" applyFont="1" applyFill="1" applyAlignment="1" applyProtection="1">
      <alignment vertical="top"/>
    </xf>
    <xf numFmtId="0" fontId="9" fillId="2" borderId="0" xfId="0" applyNumberFormat="1" applyFont="1" applyFill="1" applyAlignment="1" applyProtection="1">
      <alignment horizontal="left" vertical="top" wrapText="1"/>
    </xf>
    <xf numFmtId="0" fontId="9" fillId="2" borderId="6" xfId="0" applyNumberFormat="1" applyFont="1" applyFill="1" applyBorder="1" applyAlignment="1" applyProtection="1">
      <alignment vertical="top" wrapText="1"/>
    </xf>
    <xf numFmtId="0" fontId="10" fillId="2" borderId="14" xfId="0" applyNumberFormat="1" applyFont="1" applyFill="1" applyBorder="1" applyAlignment="1" applyProtection="1">
      <alignment horizontal="right"/>
    </xf>
    <xf numFmtId="0" fontId="10" fillId="2" borderId="0" xfId="0" applyNumberFormat="1" applyFont="1" applyFill="1" applyAlignment="1" applyProtection="1"/>
    <xf numFmtId="0" fontId="10" fillId="2" borderId="15" xfId="0" applyNumberFormat="1" applyFont="1" applyFill="1" applyBorder="1" applyAlignment="1" applyProtection="1"/>
    <xf numFmtId="0" fontId="9" fillId="2" borderId="8" xfId="0" applyNumberFormat="1" applyFont="1" applyFill="1" applyBorder="1" applyAlignment="1" applyProtection="1">
      <alignment horizontal="right" wrapText="1"/>
    </xf>
    <xf numFmtId="0" fontId="9" fillId="2" borderId="2" xfId="0" applyNumberFormat="1" applyFont="1" applyFill="1" applyBorder="1" applyAlignment="1" applyProtection="1">
      <alignment horizontal="right" wrapText="1"/>
    </xf>
    <xf numFmtId="0" fontId="27" fillId="12" borderId="0" xfId="0" applyNumberFormat="1" applyFont="1" applyFill="1" applyAlignment="1" applyProtection="1"/>
    <xf numFmtId="0" fontId="10" fillId="2" borderId="16" xfId="0" applyNumberFormat="1" applyFont="1" applyFill="1" applyBorder="1" applyAlignment="1" applyProtection="1">
      <alignment horizontal="right"/>
    </xf>
    <xf numFmtId="0" fontId="10" fillId="2" borderId="3" xfId="0" applyNumberFormat="1" applyFont="1" applyFill="1" applyBorder="1" applyAlignment="1" applyProtection="1"/>
    <xf numFmtId="0" fontId="10" fillId="2" borderId="11" xfId="0" applyNumberFormat="1" applyFont="1" applyFill="1" applyBorder="1" applyAlignment="1" applyProtection="1"/>
    <xf numFmtId="0" fontId="9" fillId="2" borderId="6" xfId="0" applyNumberFormat="1" applyFont="1" applyFill="1" applyBorder="1" applyAlignment="1" applyProtection="1">
      <alignment horizontal="right" wrapText="1"/>
    </xf>
    <xf numFmtId="0" fontId="7" fillId="9" borderId="2" xfId="0" applyNumberFormat="1" applyFont="1" applyFill="1" applyBorder="1" applyAlignment="1" applyProtection="1">
      <alignment horizontal="right"/>
    </xf>
    <xf numFmtId="0" fontId="6" fillId="3" borderId="8" xfId="0" applyNumberFormat="1" applyFont="1" applyFill="1" applyBorder="1" applyAlignment="1" applyProtection="1"/>
    <xf numFmtId="0" fontId="6" fillId="3" borderId="9" xfId="0" applyNumberFormat="1" applyFont="1" applyFill="1" applyBorder="1" applyAlignment="1" applyProtection="1"/>
    <xf numFmtId="0" fontId="6" fillId="3" borderId="10" xfId="0" applyNumberFormat="1" applyFont="1" applyFill="1" applyBorder="1" applyAlignment="1" applyProtection="1"/>
    <xf numFmtId="0" fontId="7" fillId="3" borderId="2" xfId="0" applyNumberFormat="1" applyFont="1" applyFill="1" applyBorder="1" applyAlignment="1" applyProtection="1"/>
    <xf numFmtId="0" fontId="6" fillId="3" borderId="2" xfId="0" applyNumberFormat="1" applyFont="1" applyFill="1" applyBorder="1" applyAlignment="1" applyProtection="1"/>
    <xf numFmtId="0" fontId="7" fillId="7" borderId="8" xfId="0" applyNumberFormat="1" applyFont="1" applyFill="1" applyBorder="1" applyAlignment="1" applyProtection="1">
      <alignment horizontal="left" indent="1"/>
    </xf>
    <xf numFmtId="0" fontId="7" fillId="7" borderId="9" xfId="0" applyNumberFormat="1" applyFont="1" applyFill="1" applyBorder="1" applyAlignment="1" applyProtection="1">
      <alignment horizontal="left"/>
    </xf>
    <xf numFmtId="0" fontId="7" fillId="7" borderId="9" xfId="0" applyNumberFormat="1" applyFont="1" applyFill="1" applyBorder="1" applyAlignment="1" applyProtection="1">
      <alignment horizontal="left" indent="1"/>
    </xf>
    <xf numFmtId="0" fontId="7" fillId="7" borderId="10" xfId="0" applyNumberFormat="1" applyFont="1" applyFill="1" applyBorder="1" applyAlignment="1" applyProtection="1">
      <alignment horizontal="left" indent="1"/>
    </xf>
    <xf numFmtId="37" fontId="13" fillId="6" borderId="2" xfId="0" applyNumberFormat="1" applyFont="1" applyFill="1" applyBorder="1" applyAlignment="1" applyProtection="1">
      <protection locked="0"/>
    </xf>
    <xf numFmtId="37" fontId="5" fillId="7" borderId="8" xfId="0" applyNumberFormat="1" applyFont="1" applyFill="1" applyBorder="1" applyAlignment="1" applyProtection="1">
      <alignment horizontal="right"/>
      <protection locked="0"/>
    </xf>
    <xf numFmtId="37" fontId="5" fillId="7" borderId="2" xfId="0" applyNumberFormat="1" applyFont="1" applyFill="1" applyBorder="1" applyAlignment="1" applyProtection="1">
      <alignment horizontal="right"/>
      <protection locked="0"/>
    </xf>
    <xf numFmtId="0" fontId="6" fillId="5" borderId="8" xfId="0" applyNumberFormat="1" applyFont="1" applyFill="1" applyBorder="1" applyAlignment="1" applyProtection="1"/>
    <xf numFmtId="0" fontId="6" fillId="5" borderId="9" xfId="0" applyNumberFormat="1" applyFont="1" applyFill="1" applyBorder="1" applyAlignment="1" applyProtection="1"/>
    <xf numFmtId="0" fontId="6" fillId="5" borderId="10" xfId="0" applyNumberFormat="1" applyFont="1" applyFill="1" applyBorder="1" applyAlignment="1" applyProtection="1"/>
    <xf numFmtId="37" fontId="7" fillId="5" borderId="2" xfId="0" applyNumberFormat="1" applyFont="1" applyFill="1" applyBorder="1" applyAlignment="1" applyProtection="1">
      <alignment horizontal="right"/>
    </xf>
    <xf numFmtId="0" fontId="7" fillId="7" borderId="8" xfId="0" applyNumberFormat="1" applyFont="1" applyFill="1" applyBorder="1" applyAlignment="1" applyProtection="1"/>
    <xf numFmtId="0" fontId="7" fillId="7" borderId="9" xfId="0" applyNumberFormat="1" applyFont="1" applyFill="1" applyBorder="1" applyAlignment="1" applyProtection="1"/>
    <xf numFmtId="0" fontId="7" fillId="7" borderId="10" xfId="0" applyNumberFormat="1" applyFont="1" applyFill="1" applyBorder="1" applyAlignment="1" applyProtection="1"/>
    <xf numFmtId="0" fontId="7" fillId="7" borderId="2" xfId="0" applyNumberFormat="1" applyFont="1" applyFill="1" applyBorder="1" applyAlignment="1" applyProtection="1">
      <alignment horizontal="right"/>
    </xf>
    <xf numFmtId="0" fontId="7" fillId="3" borderId="2" xfId="0" applyNumberFormat="1" applyFont="1" applyFill="1" applyBorder="1" applyAlignment="1" applyProtection="1">
      <alignment horizontal="right"/>
    </xf>
    <xf numFmtId="0" fontId="6" fillId="5" borderId="8" xfId="0" applyNumberFormat="1" applyFont="1" applyFill="1" applyBorder="1" applyAlignment="1" applyProtection="1">
      <alignment horizontal="left"/>
    </xf>
    <xf numFmtId="0" fontId="6" fillId="5" borderId="9" xfId="0" applyNumberFormat="1" applyFont="1" applyFill="1" applyBorder="1" applyAlignment="1" applyProtection="1">
      <alignment wrapText="1"/>
    </xf>
    <xf numFmtId="0" fontId="6" fillId="5" borderId="10" xfId="0" applyNumberFormat="1" applyFont="1" applyFill="1" applyBorder="1" applyAlignment="1" applyProtection="1">
      <alignment wrapText="1"/>
    </xf>
    <xf numFmtId="0" fontId="7" fillId="7" borderId="8" xfId="0" applyNumberFormat="1" applyFont="1" applyFill="1" applyBorder="1" applyAlignment="1" applyProtection="1">
      <alignment vertical="top"/>
    </xf>
    <xf numFmtId="0" fontId="7" fillId="7" borderId="9" xfId="0" applyNumberFormat="1" applyFont="1" applyFill="1" applyBorder="1" applyAlignment="1" applyProtection="1">
      <alignment vertical="top"/>
    </xf>
    <xf numFmtId="0" fontId="7" fillId="7" borderId="10" xfId="0" applyNumberFormat="1" applyFont="1" applyFill="1" applyBorder="1" applyAlignment="1" applyProtection="1">
      <alignment vertical="top"/>
    </xf>
    <xf numFmtId="37" fontId="4" fillId="7" borderId="2" xfId="0" applyNumberFormat="1" applyFont="1" applyFill="1" applyBorder="1" applyAlignment="1" applyProtection="1">
      <alignment horizontal="right"/>
      <protection locked="0"/>
    </xf>
    <xf numFmtId="37" fontId="26" fillId="5" borderId="2" xfId="0" applyNumberFormat="1" applyFont="1" applyFill="1" applyBorder="1" applyAlignment="1" applyProtection="1">
      <alignment horizontal="right"/>
    </xf>
    <xf numFmtId="0" fontId="6" fillId="7" borderId="8" xfId="0" applyNumberFormat="1" applyFont="1" applyFill="1" applyBorder="1" applyAlignment="1" applyProtection="1"/>
    <xf numFmtId="0" fontId="6" fillId="7" borderId="9" xfId="0" applyNumberFormat="1" applyFont="1" applyFill="1" applyBorder="1" applyAlignment="1" applyProtection="1"/>
    <xf numFmtId="0" fontId="6" fillId="7" borderId="10" xfId="0" applyNumberFormat="1" applyFont="1" applyFill="1" applyBorder="1" applyAlignment="1" applyProtection="1"/>
    <xf numFmtId="37" fontId="5" fillId="7" borderId="2" xfId="0" applyNumberFormat="1" applyFont="1" applyFill="1" applyBorder="1" applyAlignment="1" applyProtection="1">
      <alignment horizontal="right"/>
    </xf>
    <xf numFmtId="0" fontId="5" fillId="7" borderId="2" xfId="0" applyNumberFormat="1" applyFont="1" applyFill="1" applyBorder="1" applyAlignment="1" applyProtection="1">
      <alignment horizontal="right"/>
    </xf>
    <xf numFmtId="0" fontId="2" fillId="5" borderId="8" xfId="0" applyNumberFormat="1" applyFont="1" applyFill="1" applyBorder="1" applyAlignment="1" applyProtection="1"/>
    <xf numFmtId="0" fontId="2" fillId="5" borderId="9" xfId="0" applyNumberFormat="1" applyFont="1" applyFill="1" applyBorder="1" applyAlignment="1" applyProtection="1"/>
    <xf numFmtId="0" fontId="1" fillId="7" borderId="8" xfId="0" applyNumberFormat="1" applyFont="1" applyFill="1" applyBorder="1" applyAlignment="1" applyProtection="1"/>
    <xf numFmtId="169" fontId="1" fillId="7" borderId="9" xfId="0" applyNumberFormat="1" applyFont="1" applyFill="1" applyBorder="1" applyAlignment="1" applyProtection="1"/>
    <xf numFmtId="0" fontId="2" fillId="3" borderId="8" xfId="0" applyNumberFormat="1" applyFont="1" applyFill="1" applyBorder="1" applyAlignment="1" applyProtection="1"/>
    <xf numFmtId="0" fontId="2" fillId="3" borderId="9" xfId="0" applyNumberFormat="1" applyFont="1" applyFill="1" applyBorder="1" applyAlignment="1" applyProtection="1"/>
    <xf numFmtId="0" fontId="1" fillId="7" borderId="9" xfId="0" applyNumberFormat="1" applyFont="1" applyFill="1" applyBorder="1" applyAlignment="1" applyProtection="1"/>
    <xf numFmtId="0" fontId="1" fillId="5" borderId="9" xfId="0" applyNumberFormat="1" applyFont="1" applyFill="1" applyBorder="1" applyAlignment="1" applyProtection="1"/>
    <xf numFmtId="0" fontId="7" fillId="5" borderId="9" xfId="0" applyNumberFormat="1" applyFont="1" applyFill="1" applyBorder="1" applyAlignment="1" applyProtection="1"/>
    <xf numFmtId="0" fontId="7" fillId="5" borderId="10" xfId="0" applyNumberFormat="1" applyFont="1" applyFill="1" applyBorder="1" applyAlignment="1" applyProtection="1"/>
    <xf numFmtId="0" fontId="7" fillId="5" borderId="2" xfId="0" applyNumberFormat="1" applyFont="1" applyFill="1" applyBorder="1" applyAlignment="1" applyProtection="1"/>
    <xf numFmtId="0" fontId="7" fillId="5" borderId="8" xfId="0" applyNumberFormat="1" applyFont="1" applyFill="1" applyBorder="1" applyAlignment="1" applyProtection="1"/>
    <xf numFmtId="0" fontId="7" fillId="7" borderId="0" xfId="0" applyNumberFormat="1" applyFont="1" applyFill="1" applyAlignment="1" applyProtection="1"/>
    <xf numFmtId="37" fontId="7" fillId="7" borderId="2" xfId="0" applyNumberFormat="1" applyFont="1" applyFill="1" applyBorder="1" applyAlignment="1" applyProtection="1">
      <alignment horizontal="right"/>
      <protection locked="0"/>
    </xf>
    <xf numFmtId="0" fontId="9" fillId="2" borderId="1" xfId="0" applyNumberFormat="1" applyFont="1" applyFill="1" applyBorder="1" applyAlignment="1" applyProtection="1">
      <alignment horizontal="right" vertical="center" wrapText="1"/>
    </xf>
    <xf numFmtId="0" fontId="9" fillId="2" borderId="0" xfId="0" applyNumberFormat="1" applyFont="1" applyFill="1" applyAlignment="1" applyProtection="1">
      <alignment vertical="center"/>
    </xf>
    <xf numFmtId="0" fontId="9" fillId="2" borderId="13" xfId="0" applyNumberFormat="1" applyFont="1" applyFill="1" applyBorder="1" applyAlignment="1" applyProtection="1">
      <alignment vertical="top" wrapText="1"/>
    </xf>
    <xf numFmtId="0" fontId="31" fillId="2" borderId="13" xfId="0" applyNumberFormat="1" applyFont="1" applyFill="1" applyBorder="1" applyAlignment="1" applyProtection="1">
      <alignment vertical="top" wrapText="1"/>
    </xf>
    <xf numFmtId="0" fontId="9" fillId="2" borderId="0" xfId="0" applyNumberFormat="1" applyFont="1" applyFill="1" applyAlignment="1" applyProtection="1">
      <alignment vertical="top" wrapText="1"/>
    </xf>
    <xf numFmtId="0" fontId="31" fillId="2" borderId="3" xfId="0" applyNumberFormat="1" applyFont="1" applyFill="1" applyBorder="1" applyAlignment="1" applyProtection="1">
      <alignment vertical="top" wrapText="1"/>
    </xf>
    <xf numFmtId="0" fontId="7" fillId="2" borderId="14" xfId="0" applyNumberFormat="1" applyFont="1" applyFill="1" applyBorder="1" applyAlignment="1" applyProtection="1">
      <alignment horizontal="right"/>
    </xf>
    <xf numFmtId="0" fontId="7" fillId="2" borderId="0" xfId="0" applyNumberFormat="1" applyFont="1" applyFill="1" applyAlignment="1" applyProtection="1"/>
    <xf numFmtId="0" fontId="7" fillId="2" borderId="15" xfId="0" applyNumberFormat="1" applyFont="1" applyFill="1" applyBorder="1" applyAlignment="1" applyProtection="1"/>
    <xf numFmtId="0" fontId="7" fillId="2" borderId="16" xfId="0" applyNumberFormat="1" applyFont="1" applyFill="1" applyBorder="1" applyAlignment="1" applyProtection="1">
      <alignment horizontal="right"/>
    </xf>
    <xf numFmtId="0" fontId="7" fillId="2" borderId="3" xfId="0" applyNumberFormat="1" applyFont="1" applyFill="1" applyBorder="1" applyAlignment="1" applyProtection="1"/>
    <xf numFmtId="0" fontId="7" fillId="2" borderId="11" xfId="0" applyNumberFormat="1" applyFont="1" applyFill="1" applyBorder="1" applyAlignment="1" applyProtection="1"/>
    <xf numFmtId="0" fontId="9" fillId="2" borderId="2" xfId="0" applyNumberFormat="1" applyFont="1" applyFill="1" applyBorder="1" applyAlignment="1" applyProtection="1">
      <alignment horizontal="right" vertical="top" wrapText="1"/>
    </xf>
    <xf numFmtId="0" fontId="7" fillId="14" borderId="32" xfId="0" applyNumberFormat="1" applyFont="1" applyFill="1" applyBorder="1" applyAlignment="1" applyProtection="1"/>
    <xf numFmtId="0" fontId="7" fillId="6" borderId="8" xfId="0" applyNumberFormat="1" applyFont="1" applyFill="1" applyBorder="1" applyAlignment="1" applyProtection="1">
      <alignment horizontal="left" indent="1"/>
    </xf>
    <xf numFmtId="0" fontId="7" fillId="6" borderId="9" xfId="0" applyNumberFormat="1" applyFont="1" applyFill="1" applyBorder="1" applyAlignment="1" applyProtection="1">
      <alignment horizontal="left"/>
    </xf>
    <xf numFmtId="0" fontId="7" fillId="6" borderId="9" xfId="0" applyNumberFormat="1" applyFont="1" applyFill="1" applyBorder="1" applyAlignment="1" applyProtection="1">
      <alignment horizontal="left" indent="1"/>
    </xf>
    <xf numFmtId="0" fontId="7" fillId="6" borderId="10" xfId="0" applyNumberFormat="1" applyFont="1" applyFill="1" applyBorder="1" applyAlignment="1" applyProtection="1">
      <alignment horizontal="left" indent="1"/>
    </xf>
    <xf numFmtId="37" fontId="5" fillId="7" borderId="8" xfId="0" applyNumberFormat="1" applyFont="1" applyFill="1" applyBorder="1" applyAlignment="1" applyProtection="1">
      <alignment horizontal="right"/>
    </xf>
    <xf numFmtId="0" fontId="7" fillId="5" borderId="8" xfId="0" applyNumberFormat="1" applyFont="1" applyFill="1" applyBorder="1" applyAlignment="1" applyProtection="1">
      <alignment horizontal="left" indent="1"/>
    </xf>
    <xf numFmtId="0" fontId="7" fillId="5" borderId="9" xfId="0" applyNumberFormat="1" applyFont="1" applyFill="1" applyBorder="1" applyAlignment="1" applyProtection="1">
      <alignment horizontal="left"/>
    </xf>
    <xf numFmtId="0" fontId="7" fillId="5" borderId="9" xfId="0" applyNumberFormat="1" applyFont="1" applyFill="1" applyBorder="1" applyAlignment="1" applyProtection="1">
      <alignment horizontal="left" indent="1"/>
    </xf>
    <xf numFmtId="0" fontId="7" fillId="5" borderId="10" xfId="0" applyNumberFormat="1" applyFont="1" applyFill="1" applyBorder="1" applyAlignment="1" applyProtection="1">
      <alignment horizontal="left" indent="1"/>
    </xf>
    <xf numFmtId="37" fontId="4" fillId="7" borderId="2" xfId="0" applyNumberFormat="1" applyFont="1" applyFill="1" applyBorder="1" applyAlignment="1" applyProtection="1">
      <alignment horizontal="right"/>
    </xf>
    <xf numFmtId="0" fontId="4" fillId="7" borderId="9" xfId="0" applyNumberFormat="1" applyFont="1" applyFill="1" applyBorder="1" applyAlignment="1" applyProtection="1">
      <alignment horizontal="left" indent="1"/>
    </xf>
    <xf numFmtId="0" fontId="4" fillId="7" borderId="10" xfId="0" applyNumberFormat="1" applyFont="1" applyFill="1" applyBorder="1" applyAlignment="1" applyProtection="1">
      <alignment horizontal="left" indent="1"/>
    </xf>
    <xf numFmtId="0" fontId="6" fillId="3" borderId="9" xfId="0" applyNumberFormat="1" applyFont="1" applyFill="1" applyBorder="1" applyAlignment="1" applyProtection="1">
      <alignment wrapText="1"/>
    </xf>
    <xf numFmtId="0" fontId="6" fillId="3" borderId="10" xfId="0" applyNumberFormat="1" applyFont="1" applyFill="1" applyBorder="1" applyAlignment="1" applyProtection="1">
      <alignment wrapText="1"/>
    </xf>
    <xf numFmtId="0" fontId="1" fillId="7" borderId="9" xfId="0" applyNumberFormat="1" applyFont="1" applyFill="1" applyBorder="1" applyAlignment="1" applyProtection="1">
      <alignment horizontal="left"/>
    </xf>
    <xf numFmtId="0" fontId="7" fillId="7" borderId="8" xfId="0" applyNumberFormat="1" applyFont="1" applyFill="1" applyBorder="1" applyAlignment="1" applyProtection="1">
      <alignment horizontal="left" vertical="center" indent="1"/>
    </xf>
    <xf numFmtId="0" fontId="7" fillId="7" borderId="9" xfId="0" applyNumberFormat="1" applyFont="1" applyFill="1" applyBorder="1" applyAlignment="1" applyProtection="1">
      <alignment horizontal="left" vertical="center"/>
    </xf>
    <xf numFmtId="0" fontId="7" fillId="7" borderId="9" xfId="0" applyNumberFormat="1" applyFont="1" applyFill="1" applyBorder="1" applyAlignment="1" applyProtection="1">
      <alignment horizontal="left" vertical="center" indent="1"/>
    </xf>
    <xf numFmtId="0" fontId="7" fillId="7" borderId="10" xfId="0" applyNumberFormat="1" applyFont="1" applyFill="1" applyBorder="1" applyAlignment="1" applyProtection="1">
      <alignment horizontal="left" vertical="center" indent="1"/>
    </xf>
    <xf numFmtId="0" fontId="7" fillId="5" borderId="10" xfId="0" applyNumberFormat="1" applyFont="1" applyFill="1" applyBorder="1" applyAlignment="1" applyProtection="1">
      <alignment horizontal="left"/>
    </xf>
    <xf numFmtId="169" fontId="7" fillId="7" borderId="9" xfId="0" applyNumberFormat="1" applyFont="1" applyFill="1" applyBorder="1" applyAlignment="1" applyProtection="1"/>
    <xf numFmtId="0" fontId="8" fillId="7" borderId="2" xfId="0" applyNumberFormat="1" applyFont="1" applyFill="1" applyBorder="1" applyAlignment="1" applyProtection="1">
      <alignment horizontal="right"/>
    </xf>
    <xf numFmtId="0" fontId="9" fillId="2" borderId="1" xfId="0" applyNumberFormat="1" applyFont="1" applyFill="1" applyBorder="1" applyAlignment="1" applyProtection="1">
      <alignment vertical="top"/>
    </xf>
    <xf numFmtId="0" fontId="9" fillId="2" borderId="12" xfId="0" applyNumberFormat="1" applyFont="1" applyFill="1" applyBorder="1" applyAlignment="1" applyProtection="1">
      <alignment vertical="top"/>
    </xf>
    <xf numFmtId="0" fontId="9" fillId="2" borderId="13" xfId="0" applyNumberFormat="1" applyFont="1" applyFill="1" applyBorder="1" applyAlignment="1" applyProtection="1"/>
    <xf numFmtId="0" fontId="9" fillId="2" borderId="13" xfId="0" applyNumberFormat="1" applyFont="1" applyFill="1" applyBorder="1" applyAlignment="1" applyProtection="1">
      <alignment horizontal="center" vertical="top" wrapText="1"/>
    </xf>
    <xf numFmtId="0" fontId="9" fillId="2" borderId="14" xfId="0" applyNumberFormat="1" applyFont="1" applyFill="1" applyBorder="1" applyAlignment="1" applyProtection="1"/>
    <xf numFmtId="0" fontId="9" fillId="2" borderId="0" xfId="0" applyNumberFormat="1" applyFont="1" applyFill="1" applyAlignment="1" applyProtection="1"/>
    <xf numFmtId="0" fontId="9" fillId="2" borderId="3" xfId="0" applyNumberFormat="1" applyFont="1" applyFill="1" applyBorder="1" applyAlignment="1" applyProtection="1">
      <alignment horizontal="center" vertical="top" wrapText="1"/>
    </xf>
    <xf numFmtId="0" fontId="9" fillId="2" borderId="15" xfId="0" applyNumberFormat="1" applyFont="1" applyFill="1" applyBorder="1" applyAlignment="1" applyProtection="1"/>
    <xf numFmtId="0" fontId="7" fillId="9" borderId="2" xfId="0" applyNumberFormat="1" applyFont="1" applyFill="1" applyBorder="1" applyAlignment="1" applyProtection="1"/>
    <xf numFmtId="0" fontId="23" fillId="3" borderId="9" xfId="0" applyNumberFormat="1" applyFont="1" applyFill="1" applyBorder="1" applyAlignment="1" applyProtection="1">
      <alignment wrapText="1"/>
    </xf>
    <xf numFmtId="0" fontId="23" fillId="3" borderId="10" xfId="0" applyNumberFormat="1" applyFont="1" applyFill="1" applyBorder="1" applyAlignment="1" applyProtection="1">
      <alignment wrapText="1"/>
    </xf>
    <xf numFmtId="0" fontId="4" fillId="3" borderId="2" xfId="0" applyNumberFormat="1" applyFont="1" applyFill="1" applyBorder="1" applyAlignment="1" applyProtection="1">
      <alignment horizontal="right"/>
    </xf>
    <xf numFmtId="0" fontId="7" fillId="7" borderId="8" xfId="0" applyNumberFormat="1" applyFont="1" applyFill="1" applyBorder="1" applyAlignment="1" applyProtection="1">
      <alignment horizontal="left"/>
    </xf>
    <xf numFmtId="0" fontId="4" fillId="7" borderId="9" xfId="0" applyNumberFormat="1" applyFont="1" applyFill="1" applyBorder="1" applyAlignment="1" applyProtection="1">
      <alignment horizontal="left"/>
    </xf>
    <xf numFmtId="0" fontId="9" fillId="2" borderId="3" xfId="0" applyNumberFormat="1" applyFont="1" applyFill="1" applyBorder="1" applyAlignment="1" applyProtection="1">
      <alignment vertical="top" wrapText="1"/>
    </xf>
    <xf numFmtId="0" fontId="9" fillId="2" borderId="14" xfId="0" applyNumberFormat="1" applyFont="1" applyFill="1" applyBorder="1" applyAlignment="1" applyProtection="1">
      <alignment horizontal="right"/>
    </xf>
    <xf numFmtId="0" fontId="9" fillId="2" borderId="3" xfId="0" applyNumberFormat="1" applyFont="1" applyFill="1" applyBorder="1" applyAlignment="1" applyProtection="1"/>
    <xf numFmtId="0" fontId="9" fillId="2" borderId="11" xfId="0" applyNumberFormat="1" applyFont="1" applyFill="1" applyBorder="1" applyAlignment="1" applyProtection="1"/>
    <xf numFmtId="0" fontId="32" fillId="2" borderId="6" xfId="0" applyNumberFormat="1" applyFont="1" applyFill="1" applyBorder="1" applyAlignment="1" applyProtection="1">
      <alignment horizontal="right"/>
    </xf>
    <xf numFmtId="0" fontId="7" fillId="6" borderId="8" xfId="0" applyNumberFormat="1" applyFont="1" applyFill="1" applyBorder="1" applyAlignment="1" applyProtection="1"/>
    <xf numFmtId="0" fontId="1" fillId="6" borderId="9" xfId="0" applyNumberFormat="1" applyFont="1" applyFill="1" applyBorder="1" applyAlignment="1" applyProtection="1"/>
    <xf numFmtId="0" fontId="7" fillId="6" borderId="9" xfId="0" applyNumberFormat="1" applyFont="1" applyFill="1" applyBorder="1" applyAlignment="1" applyProtection="1"/>
    <xf numFmtId="0" fontId="7" fillId="6" borderId="10" xfId="0" applyNumberFormat="1" applyFont="1" applyFill="1" applyBorder="1" applyAlignment="1" applyProtection="1"/>
    <xf numFmtId="37" fontId="7" fillId="7" borderId="2" xfId="0" applyNumberFormat="1" applyFont="1" applyFill="1" applyBorder="1" applyAlignment="1" applyProtection="1">
      <alignment horizontal="right"/>
    </xf>
    <xf numFmtId="0" fontId="7" fillId="6" borderId="8" xfId="0" applyNumberFormat="1" applyFont="1" applyFill="1" applyBorder="1" applyAlignment="1" applyProtection="1">
      <alignment horizontal="left"/>
    </xf>
    <xf numFmtId="0" fontId="1" fillId="9" borderId="2" xfId="0" applyNumberFormat="1" applyFont="1" applyFill="1" applyBorder="1" applyAlignment="1" applyProtection="1">
      <alignment horizontal="right"/>
    </xf>
    <xf numFmtId="37" fontId="7" fillId="7" borderId="2" xfId="0" applyNumberFormat="1" applyFont="1" applyFill="1" applyBorder="1" applyAlignment="1" applyProtection="1">
      <alignment horizontal="left"/>
      <protection locked="0"/>
    </xf>
    <xf numFmtId="37" fontId="7" fillId="7" borderId="0" xfId="0" applyNumberFormat="1" applyFont="1" applyFill="1" applyAlignment="1" applyProtection="1">
      <alignment horizontal="left"/>
      <protection locked="0"/>
    </xf>
    <xf numFmtId="0" fontId="4" fillId="7" borderId="2" xfId="0" applyNumberFormat="1" applyFont="1" applyFill="1" applyBorder="1" applyAlignment="1" applyProtection="1">
      <alignment horizontal="right"/>
    </xf>
    <xf numFmtId="37" fontId="4" fillId="5" borderId="2" xfId="0" applyNumberFormat="1" applyFont="1" applyFill="1" applyBorder="1" applyAlignment="1" applyProtection="1">
      <alignment horizontal="right"/>
    </xf>
    <xf numFmtId="0" fontId="26" fillId="9" borderId="2" xfId="0" applyNumberFormat="1" applyFont="1" applyFill="1" applyBorder="1" applyAlignment="1" applyProtection="1">
      <alignment horizontal="right"/>
    </xf>
    <xf numFmtId="169" fontId="7" fillId="7" borderId="9" xfId="0" applyNumberFormat="1" applyFont="1" applyFill="1" applyBorder="1" applyAlignment="1" applyProtection="1">
      <alignment horizontal="left"/>
    </xf>
    <xf numFmtId="37" fontId="7" fillId="5" borderId="2" xfId="0" applyNumberFormat="1" applyFont="1" applyFill="1" applyBorder="1" applyAlignment="1" applyProtection="1">
      <alignment horizontal="right"/>
      <protection hidden="1"/>
    </xf>
    <xf numFmtId="0" fontId="4" fillId="9" borderId="2" xfId="0" applyNumberFormat="1" applyFont="1" applyFill="1" applyBorder="1" applyAlignment="1" applyProtection="1">
      <alignment horizontal="right"/>
    </xf>
    <xf numFmtId="0" fontId="7" fillId="7" borderId="2" xfId="0" applyNumberFormat="1" applyFont="1" applyFill="1" applyBorder="1" applyAlignment="1" applyProtection="1"/>
    <xf numFmtId="37" fontId="26" fillId="5" borderId="2" xfId="0" applyNumberFormat="1" applyFont="1" applyFill="1" applyBorder="1" applyAlignment="1" applyProtection="1">
      <alignment horizontal="right"/>
      <protection hidden="1"/>
    </xf>
    <xf numFmtId="37" fontId="7" fillId="5" borderId="2" xfId="0" applyNumberFormat="1" applyFont="1" applyFill="1" applyBorder="1" applyAlignment="1" applyProtection="1"/>
    <xf numFmtId="37" fontId="7" fillId="5" borderId="2" xfId="0" applyNumberFormat="1" applyFont="1" applyFill="1" applyBorder="1" applyAlignment="1" applyProtection="1">
      <protection hidden="1"/>
    </xf>
    <xf numFmtId="0" fontId="4" fillId="5" borderId="9" xfId="0" applyNumberFormat="1" applyFont="1" applyFill="1" applyBorder="1" applyAlignment="1" applyProtection="1"/>
    <xf numFmtId="0" fontId="4" fillId="5" borderId="10" xfId="0" applyNumberFormat="1" applyFont="1" applyFill="1" applyBorder="1" applyAlignment="1" applyProtection="1"/>
    <xf numFmtId="0" fontId="7" fillId="12" borderId="0" xfId="0" applyNumberFormat="1" applyFont="1" applyFill="1" applyAlignment="1" applyProtection="1"/>
    <xf numFmtId="37" fontId="26" fillId="5" borderId="2" xfId="0" applyNumberFormat="1" applyFont="1" applyFill="1" applyBorder="1" applyAlignment="1" applyProtection="1">
      <protection hidden="1"/>
    </xf>
    <xf numFmtId="0" fontId="9" fillId="2" borderId="1" xfId="0" applyNumberFormat="1" applyFont="1" applyFill="1" applyBorder="1" applyAlignment="1" applyProtection="1">
      <alignment horizontal="right" vertical="top"/>
    </xf>
    <xf numFmtId="0" fontId="6" fillId="2" borderId="13" xfId="0" applyNumberFormat="1" applyFont="1" applyFill="1" applyBorder="1" applyAlignment="1" applyProtection="1"/>
    <xf numFmtId="0" fontId="9" fillId="2" borderId="4" xfId="0" applyNumberFormat="1" applyFont="1" applyFill="1" applyBorder="1" applyAlignment="1" applyProtection="1">
      <alignment horizontal="center" wrapText="1"/>
    </xf>
    <xf numFmtId="0" fontId="6" fillId="2" borderId="14" xfId="0" applyNumberFormat="1" applyFont="1" applyFill="1" applyBorder="1" applyAlignment="1" applyProtection="1">
      <alignment horizontal="right"/>
    </xf>
    <xf numFmtId="0" fontId="6" fillId="2" borderId="0" xfId="0" applyNumberFormat="1" applyFont="1" applyFill="1" applyAlignment="1" applyProtection="1"/>
    <xf numFmtId="0" fontId="6" fillId="2" borderId="15" xfId="0" applyNumberFormat="1" applyFont="1" applyFill="1" applyBorder="1" applyAlignment="1" applyProtection="1"/>
    <xf numFmtId="0" fontId="33" fillId="2" borderId="4" xfId="0" applyNumberFormat="1" applyFont="1" applyFill="1" applyBorder="1" applyAlignment="1" applyProtection="1">
      <alignment horizontal="center" wrapText="1"/>
    </xf>
    <xf numFmtId="0" fontId="10" fillId="2" borderId="5" xfId="0" applyNumberFormat="1" applyFont="1" applyFill="1" applyBorder="1" applyAlignment="1" applyProtection="1">
      <alignment horizontal="right" wrapText="1"/>
    </xf>
    <xf numFmtId="0" fontId="33" fillId="2" borderId="2" xfId="0" applyNumberFormat="1" applyFont="1" applyFill="1" applyBorder="1" applyAlignment="1" applyProtection="1">
      <alignment horizontal="right" wrapText="1"/>
    </xf>
    <xf numFmtId="0" fontId="33" fillId="2" borderId="8" xfId="0" applyNumberFormat="1" applyFont="1" applyFill="1" applyBorder="1" applyAlignment="1" applyProtection="1">
      <alignment horizontal="right" wrapText="1"/>
    </xf>
    <xf numFmtId="0" fontId="10" fillId="2" borderId="2" xfId="0" applyNumberFormat="1" applyFont="1" applyFill="1" applyBorder="1" applyAlignment="1" applyProtection="1">
      <alignment horizontal="right" wrapText="1"/>
    </xf>
    <xf numFmtId="0" fontId="32" fillId="2" borderId="2" xfId="0" applyNumberFormat="1" applyFont="1" applyFill="1" applyBorder="1" applyAlignment="1" applyProtection="1">
      <alignment horizontal="right"/>
    </xf>
    <xf numFmtId="0" fontId="7" fillId="10" borderId="2" xfId="0" applyNumberFormat="1" applyFont="1" applyFill="1" applyBorder="1" applyAlignment="1" applyProtection="1">
      <alignment horizontal="right"/>
    </xf>
    <xf numFmtId="0" fontId="6" fillId="3" borderId="8" xfId="0" applyNumberFormat="1" applyFont="1" applyFill="1" applyBorder="1" applyAlignment="1" applyProtection="1">
      <alignment horizontal="left"/>
    </xf>
    <xf numFmtId="0" fontId="6" fillId="3" borderId="9" xfId="0" applyNumberFormat="1" applyFont="1" applyFill="1" applyBorder="1" applyAlignment="1" applyProtection="1">
      <alignment horizontal="left"/>
    </xf>
    <xf numFmtId="0" fontId="6" fillId="3" borderId="10" xfId="0" applyNumberFormat="1" applyFont="1" applyFill="1" applyBorder="1" applyAlignment="1" applyProtection="1">
      <alignment horizontal="left"/>
    </xf>
    <xf numFmtId="0" fontId="7" fillId="4" borderId="8" xfId="0" applyNumberFormat="1" applyFont="1" applyFill="1" applyBorder="1" applyAlignment="1" applyProtection="1">
      <alignment horizontal="left"/>
    </xf>
    <xf numFmtId="0" fontId="7" fillId="4" borderId="9" xfId="0" applyNumberFormat="1" applyFont="1" applyFill="1" applyBorder="1" applyAlignment="1" applyProtection="1">
      <alignment horizontal="left"/>
    </xf>
    <xf numFmtId="0" fontId="7" fillId="4" borderId="9" xfId="0" applyNumberFormat="1" applyFont="1" applyFill="1" applyBorder="1" applyAlignment="1" applyProtection="1">
      <alignment horizontal="left" indent="1"/>
    </xf>
    <xf numFmtId="0" fontId="7" fillId="4" borderId="10" xfId="0" applyNumberFormat="1" applyFont="1" applyFill="1" applyBorder="1" applyAlignment="1" applyProtection="1">
      <alignment horizontal="left" indent="1"/>
    </xf>
    <xf numFmtId="169" fontId="7" fillId="4" borderId="9" xfId="0" applyNumberFormat="1" applyFont="1" applyFill="1" applyBorder="1" applyAlignment="1" applyProtection="1">
      <alignment horizontal="left"/>
    </xf>
    <xf numFmtId="0" fontId="7" fillId="4" borderId="10" xfId="0" applyNumberFormat="1" applyFont="1" applyFill="1" applyBorder="1" applyAlignment="1" applyProtection="1">
      <alignment horizontal="left"/>
    </xf>
    <xf numFmtId="0" fontId="8" fillId="3" borderId="2" xfId="0" applyNumberFormat="1" applyFont="1" applyFill="1" applyBorder="1" applyAlignment="1" applyProtection="1"/>
    <xf numFmtId="0" fontId="7" fillId="4" borderId="8" xfId="0" applyNumberFormat="1" applyFont="1" applyFill="1" applyBorder="1" applyAlignment="1" applyProtection="1">
      <alignment horizontal="left" indent="1"/>
    </xf>
    <xf numFmtId="0" fontId="7" fillId="4" borderId="8" xfId="0" applyNumberFormat="1" applyFont="1" applyFill="1" applyBorder="1" applyAlignment="1" applyProtection="1"/>
    <xf numFmtId="0" fontId="7" fillId="4" borderId="9" xfId="0" applyNumberFormat="1" applyFont="1" applyFill="1" applyBorder="1" applyAlignment="1" applyProtection="1"/>
    <xf numFmtId="0" fontId="7" fillId="4" borderId="10" xfId="0" applyNumberFormat="1" applyFont="1" applyFill="1" applyBorder="1" applyAlignment="1" applyProtection="1"/>
    <xf numFmtId="0" fontId="4" fillId="4" borderId="9" xfId="0" applyNumberFormat="1" applyFont="1" applyFill="1" applyBorder="1" applyAlignment="1" applyProtection="1"/>
    <xf numFmtId="0" fontId="4" fillId="4" borderId="10" xfId="0" applyNumberFormat="1" applyFont="1" applyFill="1" applyBorder="1" applyAlignment="1" applyProtection="1"/>
    <xf numFmtId="0" fontId="9" fillId="2" borderId="1" xfId="0" applyNumberFormat="1" applyFont="1" applyFill="1" applyBorder="1" applyAlignment="1" applyProtection="1">
      <alignment horizontal="left" vertical="top"/>
    </xf>
    <xf numFmtId="0" fontId="32" fillId="2" borderId="13" xfId="0" applyNumberFormat="1" applyFont="1" applyFill="1" applyBorder="1" applyAlignment="1" applyProtection="1">
      <alignment horizontal="left" vertical="top" wrapText="1"/>
    </xf>
    <xf numFmtId="0" fontId="32" fillId="2" borderId="14" xfId="0" applyNumberFormat="1" applyFont="1" applyFill="1" applyBorder="1" applyAlignment="1" applyProtection="1">
      <alignment horizontal="left" vertical="top"/>
    </xf>
    <xf numFmtId="0" fontId="32" fillId="2" borderId="0" xfId="0" applyNumberFormat="1" applyFont="1" applyFill="1" applyAlignment="1" applyProtection="1">
      <alignment horizontal="left" vertical="top" wrapText="1"/>
    </xf>
    <xf numFmtId="0" fontId="32" fillId="2" borderId="0" xfId="0" applyNumberFormat="1" applyFont="1" applyFill="1" applyAlignment="1" applyProtection="1">
      <alignment horizontal="center"/>
    </xf>
    <xf numFmtId="0" fontId="32" fillId="2" borderId="15" xfId="0" applyNumberFormat="1" applyFont="1" applyFill="1" applyBorder="1" applyAlignment="1" applyProtection="1">
      <alignment horizontal="center"/>
    </xf>
    <xf numFmtId="0" fontId="34" fillId="2" borderId="16" xfId="0" applyNumberFormat="1" applyFont="1" applyFill="1" applyBorder="1" applyAlignment="1" applyProtection="1">
      <alignment horizontal="right"/>
    </xf>
    <xf numFmtId="0" fontId="34" fillId="2" borderId="3" xfId="0" applyNumberFormat="1" applyFont="1" applyFill="1" applyBorder="1" applyAlignment="1" applyProtection="1"/>
    <xf numFmtId="0" fontId="32" fillId="2" borderId="2" xfId="0" applyNumberFormat="1" applyFont="1" applyFill="1" applyBorder="1" applyAlignment="1" applyProtection="1">
      <alignment horizontal="right" wrapText="1"/>
    </xf>
    <xf numFmtId="0" fontId="2" fillId="3" borderId="8" xfId="0" applyNumberFormat="1" applyFont="1" applyFill="1" applyBorder="1" applyAlignment="1" applyProtection="1">
      <alignment horizontal="left"/>
    </xf>
    <xf numFmtId="0" fontId="2" fillId="3" borderId="9" xfId="0" applyNumberFormat="1" applyFont="1" applyFill="1" applyBorder="1" applyAlignment="1" applyProtection="1">
      <alignment horizontal="left"/>
    </xf>
    <xf numFmtId="0" fontId="2" fillId="3" borderId="10" xfId="0" applyNumberFormat="1" applyFont="1" applyFill="1" applyBorder="1" applyAlignment="1" applyProtection="1">
      <alignment horizontal="left"/>
    </xf>
    <xf numFmtId="0" fontId="1" fillId="3" borderId="2" xfId="0" applyNumberFormat="1" applyFont="1" applyFill="1" applyBorder="1" applyAlignment="1" applyProtection="1"/>
    <xf numFmtId="0" fontId="1" fillId="3" borderId="8" xfId="0" applyNumberFormat="1" applyFont="1" applyFill="1" applyBorder="1" applyAlignment="1" applyProtection="1">
      <alignment horizontal="left" indent="1"/>
    </xf>
    <xf numFmtId="0" fontId="2" fillId="3" borderId="9" xfId="0" applyNumberFormat="1" applyFont="1" applyFill="1" applyBorder="1" applyAlignment="1" applyProtection="1">
      <alignment horizontal="left"/>
      <protection hidden="1"/>
    </xf>
    <xf numFmtId="0" fontId="1" fillId="3" borderId="9" xfId="0" applyNumberFormat="1" applyFont="1" applyFill="1" applyBorder="1" applyAlignment="1" applyProtection="1">
      <alignment horizontal="left" indent="1"/>
    </xf>
    <xf numFmtId="0" fontId="1" fillId="3" borderId="10" xfId="0" applyNumberFormat="1" applyFont="1" applyFill="1" applyBorder="1" applyAlignment="1" applyProtection="1">
      <alignment horizontal="left" indent="1"/>
    </xf>
    <xf numFmtId="37" fontId="1" fillId="3" borderId="2" xfId="0" applyNumberFormat="1" applyFont="1" applyFill="1" applyBorder="1" applyAlignment="1" applyProtection="1"/>
    <xf numFmtId="0" fontId="1" fillId="4" borderId="8" xfId="0" applyNumberFormat="1" applyFont="1" applyFill="1" applyBorder="1" applyAlignment="1" applyProtection="1">
      <alignment horizontal="left" indent="2"/>
    </xf>
    <xf numFmtId="0" fontId="1" fillId="4" borderId="9" xfId="0" applyNumberFormat="1" applyFont="1" applyFill="1" applyBorder="1" applyAlignment="1" applyProtection="1">
      <alignment horizontal="left" indent="2"/>
    </xf>
    <xf numFmtId="0" fontId="1" fillId="4" borderId="9" xfId="0" applyNumberFormat="1" applyFont="1" applyFill="1" applyBorder="1" applyAlignment="1" applyProtection="1">
      <alignment horizontal="left"/>
    </xf>
    <xf numFmtId="0" fontId="1" fillId="4" borderId="10" xfId="0" applyNumberFormat="1" applyFont="1" applyFill="1" applyBorder="1" applyAlignment="1" applyProtection="1">
      <alignment horizontal="left" indent="2"/>
    </xf>
    <xf numFmtId="37" fontId="5" fillId="4" borderId="2" xfId="0" applyNumberFormat="1" applyFont="1" applyFill="1" applyBorder="1" applyAlignment="1" applyProtection="1">
      <alignment horizontal="right"/>
      <protection locked="0"/>
    </xf>
    <xf numFmtId="37" fontId="1" fillId="5" borderId="2" xfId="0" applyNumberFormat="1" applyFont="1" applyFill="1" applyBorder="1" applyAlignment="1" applyProtection="1">
      <alignment horizontal="right"/>
    </xf>
    <xf numFmtId="37" fontId="5" fillId="5" borderId="2" xfId="0" applyNumberFormat="1" applyFont="1" applyFill="1" applyBorder="1" applyAlignment="1" applyProtection="1">
      <alignment horizontal="right"/>
      <protection locked="0"/>
    </xf>
    <xf numFmtId="0" fontId="1" fillId="5" borderId="8" xfId="0" applyNumberFormat="1" applyFont="1" applyFill="1" applyBorder="1" applyAlignment="1" applyProtection="1">
      <alignment horizontal="left"/>
    </xf>
    <xf numFmtId="0" fontId="2" fillId="5" borderId="9" xfId="0" applyNumberFormat="1" applyFont="1" applyFill="1" applyBorder="1" applyAlignment="1" applyProtection="1">
      <alignment horizontal="left"/>
    </xf>
    <xf numFmtId="0" fontId="1" fillId="5" borderId="9" xfId="0" applyNumberFormat="1" applyFont="1" applyFill="1" applyBorder="1" applyAlignment="1" applyProtection="1">
      <alignment horizontal="left" indent="1"/>
    </xf>
    <xf numFmtId="0" fontId="1" fillId="5" borderId="10" xfId="0" applyNumberFormat="1" applyFont="1" applyFill="1" applyBorder="1" applyAlignment="1" applyProtection="1">
      <alignment horizontal="left" indent="1"/>
    </xf>
    <xf numFmtId="37" fontId="1" fillId="3" borderId="2" xfId="0" applyNumberFormat="1" applyFont="1" applyFill="1" applyBorder="1" applyAlignment="1" applyProtection="1">
      <protection hidden="1"/>
    </xf>
    <xf numFmtId="37" fontId="1" fillId="4" borderId="2" xfId="0" applyNumberFormat="1" applyFont="1" applyFill="1" applyBorder="1" applyAlignment="1" applyProtection="1">
      <alignment horizontal="right"/>
    </xf>
    <xf numFmtId="0" fontId="7" fillId="5" borderId="0" xfId="0" applyNumberFormat="1" applyFont="1" applyFill="1" applyAlignment="1" applyProtection="1">
      <alignment horizontal="center"/>
    </xf>
    <xf numFmtId="0" fontId="1" fillId="7" borderId="8" xfId="0" applyNumberFormat="1" applyFont="1" applyFill="1" applyBorder="1" applyAlignment="1" applyProtection="1">
      <alignment horizontal="left"/>
    </xf>
    <xf numFmtId="0" fontId="1" fillId="7" borderId="9" xfId="0" applyNumberFormat="1" applyFont="1" applyFill="1" applyBorder="1" applyAlignment="1" applyProtection="1">
      <alignment horizontal="left" indent="2"/>
    </xf>
    <xf numFmtId="0" fontId="1" fillId="7" borderId="9" xfId="0" applyNumberFormat="1" applyFont="1" applyFill="1" applyBorder="1" applyAlignment="1" applyProtection="1">
      <alignment horizontal="left" indent="1"/>
    </xf>
    <xf numFmtId="0" fontId="1" fillId="7" borderId="10" xfId="0" applyNumberFormat="1" applyFont="1" applyFill="1" applyBorder="1" applyAlignment="1" applyProtection="1">
      <alignment horizontal="left" indent="1"/>
    </xf>
    <xf numFmtId="0" fontId="1" fillId="3" borderId="2" xfId="0" applyNumberFormat="1" applyFont="1" applyFill="1" applyBorder="1" applyAlignment="1" applyProtection="1">
      <protection hidden="1"/>
    </xf>
    <xf numFmtId="37" fontId="5" fillId="4" borderId="2" xfId="0" applyNumberFormat="1" applyFont="1" applyFill="1" applyBorder="1" applyAlignment="1" applyProtection="1">
      <protection locked="0" hidden="1"/>
    </xf>
    <xf numFmtId="37" fontId="1" fillId="5" borderId="2" xfId="0" applyNumberFormat="1" applyFont="1" applyFill="1" applyBorder="1" applyAlignment="1" applyProtection="1"/>
    <xf numFmtId="37" fontId="5" fillId="5" borderId="2" xfId="0" applyNumberFormat="1" applyFont="1" applyFill="1" applyBorder="1" applyAlignment="1" applyProtection="1">
      <protection locked="0" hidden="1"/>
    </xf>
    <xf numFmtId="37" fontId="1" fillId="5" borderId="2" xfId="0" applyNumberFormat="1" applyFont="1" applyFill="1" applyBorder="1" applyAlignment="1" applyProtection="1">
      <protection hidden="1"/>
    </xf>
    <xf numFmtId="169" fontId="1" fillId="4" borderId="9" xfId="0" applyNumberFormat="1" applyFont="1" applyFill="1" applyBorder="1" applyAlignment="1" applyProtection="1">
      <alignment horizontal="left" indent="2"/>
    </xf>
    <xf numFmtId="0" fontId="1" fillId="5" borderId="9" xfId="0" applyNumberFormat="1" applyFont="1" applyFill="1" applyBorder="1" applyAlignment="1" applyProtection="1">
      <alignment horizontal="left"/>
    </xf>
    <xf numFmtId="0" fontId="1" fillId="3" borderId="9" xfId="0" applyNumberFormat="1" applyFont="1" applyFill="1" applyBorder="1" applyAlignment="1" applyProtection="1">
      <alignment horizontal="left" indent="2"/>
    </xf>
    <xf numFmtId="37" fontId="1" fillId="4" borderId="2" xfId="0" applyNumberFormat="1" applyFont="1" applyFill="1" applyBorder="1" applyAlignment="1" applyProtection="1">
      <alignment horizontal="right"/>
      <protection hidden="1"/>
    </xf>
    <xf numFmtId="0" fontId="1" fillId="5" borderId="9" xfId="0" applyNumberFormat="1" applyFont="1" applyFill="1" applyBorder="1" applyAlignment="1" applyProtection="1">
      <alignment horizontal="left" indent="2"/>
    </xf>
    <xf numFmtId="0" fontId="1" fillId="5" borderId="10" xfId="0" applyNumberFormat="1" applyFont="1" applyFill="1" applyBorder="1" applyAlignment="1" applyProtection="1">
      <alignment horizontal="left" indent="2"/>
    </xf>
    <xf numFmtId="37" fontId="1" fillId="5" borderId="2" xfId="0" applyNumberFormat="1" applyFont="1" applyFill="1" applyBorder="1" applyAlignment="1" applyProtection="1">
      <alignment horizontal="right"/>
      <protection hidden="1"/>
    </xf>
    <xf numFmtId="37" fontId="5" fillId="4" borderId="2" xfId="0" applyNumberFormat="1" applyFont="1" applyFill="1" applyBorder="1" applyAlignment="1" applyProtection="1">
      <protection hidden="1"/>
    </xf>
    <xf numFmtId="0" fontId="36" fillId="5" borderId="0" xfId="0" applyNumberFormat="1" applyFont="1" applyFill="1" applyAlignment="1" applyProtection="1"/>
    <xf numFmtId="0" fontId="1" fillId="5" borderId="10" xfId="0" applyNumberFormat="1" applyFont="1" applyFill="1" applyBorder="1" applyAlignment="1" applyProtection="1">
      <alignment horizontal="left"/>
    </xf>
    <xf numFmtId="0" fontId="1" fillId="5" borderId="2" xfId="0" applyNumberFormat="1" applyFont="1" applyFill="1" applyBorder="1" applyAlignment="1" applyProtection="1">
      <alignment horizontal="right"/>
      <protection hidden="1"/>
    </xf>
    <xf numFmtId="0" fontId="1" fillId="4" borderId="8" xfId="0" applyNumberFormat="1" applyFont="1" applyFill="1" applyBorder="1" applyAlignment="1" applyProtection="1">
      <alignment horizontal="left"/>
    </xf>
    <xf numFmtId="0" fontId="1" fillId="4" borderId="10" xfId="0" applyNumberFormat="1" applyFont="1" applyFill="1" applyBorder="1" applyAlignment="1" applyProtection="1">
      <alignment horizontal="left"/>
    </xf>
    <xf numFmtId="0" fontId="1" fillId="4" borderId="2" xfId="0" applyNumberFormat="1" applyFont="1" applyFill="1" applyBorder="1" applyAlignment="1" applyProtection="1">
      <alignment horizontal="right"/>
      <protection hidden="1"/>
    </xf>
    <xf numFmtId="0" fontId="1" fillId="3" borderId="2" xfId="0" applyNumberFormat="1" applyFont="1" applyFill="1" applyBorder="1" applyAlignment="1" applyProtection="1">
      <alignment horizontal="right"/>
      <protection hidden="1"/>
    </xf>
    <xf numFmtId="0" fontId="1" fillId="4" borderId="8" xfId="0" applyNumberFormat="1" applyFont="1" applyFill="1" applyBorder="1" applyAlignment="1" applyProtection="1">
      <alignment horizontal="left" indent="1"/>
    </xf>
    <xf numFmtId="0" fontId="1" fillId="5" borderId="10" xfId="0" applyNumberFormat="1" applyFont="1" applyFill="1" applyBorder="1" applyAlignment="1" applyProtection="1"/>
    <xf numFmtId="0" fontId="1" fillId="4" borderId="8" xfId="0" applyNumberFormat="1" applyFont="1" applyFill="1" applyBorder="1" applyAlignment="1" applyProtection="1"/>
    <xf numFmtId="0" fontId="1" fillId="4" borderId="9" xfId="0" applyNumberFormat="1" applyFont="1" applyFill="1" applyBorder="1" applyAlignment="1" applyProtection="1"/>
    <xf numFmtId="0" fontId="1" fillId="4" borderId="10" xfId="0" applyNumberFormat="1" applyFont="1" applyFill="1" applyBorder="1" applyAlignment="1" applyProtection="1"/>
    <xf numFmtId="0" fontId="1" fillId="4" borderId="2" xfId="0" applyNumberFormat="1" applyFont="1" applyFill="1" applyBorder="1" applyAlignment="1" applyProtection="1">
      <protection hidden="1"/>
    </xf>
    <xf numFmtId="0" fontId="2" fillId="5" borderId="8" xfId="0" applyNumberFormat="1" applyFont="1" applyFill="1" applyBorder="1" applyAlignment="1" applyProtection="1">
      <alignment horizontal="left"/>
    </xf>
    <xf numFmtId="0" fontId="2" fillId="5" borderId="10" xfId="0" applyNumberFormat="1" applyFont="1" applyFill="1" applyBorder="1" applyAlignment="1" applyProtection="1">
      <alignment horizontal="left"/>
    </xf>
    <xf numFmtId="0" fontId="32" fillId="2" borderId="13" xfId="0" applyNumberFormat="1" applyFont="1" applyFill="1" applyBorder="1" applyAlignment="1" applyProtection="1">
      <alignment horizontal="left" vertical="top"/>
    </xf>
    <xf numFmtId="0" fontId="32" fillId="2" borderId="13" xfId="0" applyNumberFormat="1" applyFont="1" applyFill="1" applyBorder="1" applyAlignment="1" applyProtection="1">
      <alignment horizontal="left"/>
    </xf>
    <xf numFmtId="0" fontId="23" fillId="2" borderId="13" xfId="0" applyNumberFormat="1" applyFont="1" applyFill="1" applyBorder="1" applyAlignment="1" applyProtection="1">
      <alignment vertical="top" wrapText="1"/>
    </xf>
    <xf numFmtId="0" fontId="33" fillId="2" borderId="14" xfId="0" applyNumberFormat="1" applyFont="1" applyFill="1" applyBorder="1" applyAlignment="1" applyProtection="1">
      <alignment horizontal="right"/>
    </xf>
    <xf numFmtId="0" fontId="33" fillId="2" borderId="0" xfId="0" applyNumberFormat="1" applyFont="1" applyFill="1" applyAlignment="1" applyProtection="1"/>
    <xf numFmtId="0" fontId="23" fillId="2" borderId="3" xfId="0" applyNumberFormat="1" applyFont="1" applyFill="1" applyBorder="1" applyAlignment="1" applyProtection="1">
      <alignment vertical="top" wrapText="1"/>
    </xf>
    <xf numFmtId="0" fontId="23" fillId="2" borderId="8" xfId="0" applyNumberFormat="1" applyFont="1" applyFill="1" applyBorder="1" applyAlignment="1" applyProtection="1">
      <alignment horizontal="right" wrapText="1"/>
    </xf>
    <xf numFmtId="0" fontId="34" fillId="2" borderId="0" xfId="0" applyNumberFormat="1" applyFont="1" applyFill="1" applyAlignment="1" applyProtection="1"/>
    <xf numFmtId="0" fontId="23" fillId="2" borderId="6" xfId="0" applyNumberFormat="1" applyFont="1" applyFill="1" applyBorder="1" applyAlignment="1" applyProtection="1">
      <alignment horizontal="right"/>
    </xf>
    <xf numFmtId="37" fontId="4" fillId="4" borderId="2" xfId="0" applyNumberFormat="1" applyFont="1" applyFill="1" applyBorder="1" applyAlignment="1" applyProtection="1">
      <protection locked="0"/>
    </xf>
    <xf numFmtId="37" fontId="1" fillId="4" borderId="2" xfId="0" applyNumberFormat="1" applyFont="1" applyFill="1" applyBorder="1" applyAlignment="1" applyProtection="1"/>
    <xf numFmtId="0" fontId="1" fillId="4" borderId="9" xfId="0" applyNumberFormat="1" applyFont="1" applyFill="1" applyBorder="1" applyAlignment="1" applyProtection="1">
      <alignment horizontal="left" wrapText="1" indent="1"/>
    </xf>
    <xf numFmtId="0" fontId="1" fillId="4" borderId="10" xfId="0" applyNumberFormat="1" applyFont="1" applyFill="1" applyBorder="1" applyAlignment="1" applyProtection="1">
      <alignment horizontal="left" wrapText="1" indent="1"/>
    </xf>
    <xf numFmtId="0" fontId="1" fillId="4" borderId="8" xfId="0" applyNumberFormat="1" applyFont="1" applyFill="1" applyBorder="1" applyAlignment="1" applyProtection="1">
      <alignment horizontal="left" wrapText="1" indent="2"/>
    </xf>
    <xf numFmtId="0" fontId="1" fillId="4" borderId="9" xfId="0" applyNumberFormat="1" applyFont="1" applyFill="1" applyBorder="1" applyAlignment="1" applyProtection="1">
      <alignment horizontal="left" wrapText="1" indent="2"/>
    </xf>
    <xf numFmtId="0" fontId="1" fillId="4" borderId="9" xfId="0" applyNumberFormat="1" applyFont="1" applyFill="1" applyBorder="1" applyAlignment="1" applyProtection="1">
      <alignment horizontal="left" wrapText="1"/>
    </xf>
    <xf numFmtId="0" fontId="1" fillId="4" borderId="10" xfId="0" applyNumberFormat="1" applyFont="1" applyFill="1" applyBorder="1" applyAlignment="1" applyProtection="1">
      <alignment horizontal="left" wrapText="1" indent="2"/>
    </xf>
    <xf numFmtId="0" fontId="1" fillId="5" borderId="9" xfId="0" applyNumberFormat="1" applyFont="1" applyFill="1" applyBorder="1" applyAlignment="1" applyProtection="1">
      <alignment horizontal="left" wrapText="1" indent="1"/>
    </xf>
    <xf numFmtId="0" fontId="1" fillId="5" borderId="10" xfId="0" applyNumberFormat="1" applyFont="1" applyFill="1" applyBorder="1" applyAlignment="1" applyProtection="1">
      <alignment horizontal="left" wrapText="1" indent="1"/>
    </xf>
    <xf numFmtId="37" fontId="4" fillId="5" borderId="2" xfId="0" applyNumberFormat="1" applyFont="1" applyFill="1" applyBorder="1" applyAlignment="1" applyProtection="1"/>
    <xf numFmtId="0" fontId="1" fillId="4" borderId="9" xfId="0" applyNumberFormat="1" applyFont="1" applyFill="1" applyBorder="1" applyAlignment="1" applyProtection="1">
      <alignment horizontal="left" indent="1"/>
    </xf>
    <xf numFmtId="0" fontId="1" fillId="4" borderId="10" xfId="0" applyNumberFormat="1" applyFont="1" applyFill="1" applyBorder="1" applyAlignment="1" applyProtection="1">
      <alignment horizontal="left" indent="1"/>
    </xf>
    <xf numFmtId="37" fontId="5" fillId="4" borderId="2" xfId="0" applyNumberFormat="1" applyFont="1" applyFill="1" applyBorder="1" applyAlignment="1" applyProtection="1">
      <protection locked="0"/>
    </xf>
    <xf numFmtId="169" fontId="1" fillId="4" borderId="9" xfId="0" applyNumberFormat="1" applyFont="1" applyFill="1" applyBorder="1" applyAlignment="1" applyProtection="1">
      <alignment horizontal="left" wrapText="1" indent="2"/>
    </xf>
    <xf numFmtId="0" fontId="1" fillId="5" borderId="8" xfId="0" applyNumberFormat="1" applyFont="1" applyFill="1" applyBorder="1" applyAlignment="1" applyProtection="1">
      <alignment horizontal="left" indent="1"/>
    </xf>
    <xf numFmtId="37" fontId="5" fillId="4" borderId="2" xfId="0" applyNumberFormat="1" applyFont="1" applyFill="1" applyBorder="1" applyAlignment="1" applyProtection="1"/>
    <xf numFmtId="37" fontId="4" fillId="4" borderId="2" xfId="0" applyNumberFormat="1" applyFont="1" applyFill="1" applyBorder="1" applyAlignment="1" applyProtection="1"/>
    <xf numFmtId="0" fontId="2" fillId="3" borderId="2" xfId="0" applyNumberFormat="1" applyFont="1" applyFill="1" applyBorder="1" applyAlignment="1" applyProtection="1">
      <alignment horizontal="left"/>
    </xf>
    <xf numFmtId="0" fontId="23" fillId="3" borderId="2" xfId="0" applyNumberFormat="1" applyFont="1" applyFill="1" applyBorder="1" applyAlignment="1" applyProtection="1">
      <alignment horizontal="left"/>
    </xf>
    <xf numFmtId="0" fontId="7" fillId="5" borderId="9" xfId="0" applyNumberFormat="1" applyFont="1" applyFill="1" applyBorder="1" applyAlignment="1" applyProtection="1">
      <alignment horizontal="left" wrapText="1"/>
    </xf>
    <xf numFmtId="0" fontId="9" fillId="2" borderId="1" xfId="0" applyNumberFormat="1" applyFont="1" applyFill="1" applyBorder="1" applyAlignment="1" applyProtection="1">
      <alignment horizontal="left"/>
    </xf>
    <xf numFmtId="0" fontId="32" fillId="2" borderId="14" xfId="0" applyNumberFormat="1" applyFont="1" applyFill="1" applyBorder="1" applyAlignment="1" applyProtection="1">
      <alignment horizontal="left"/>
    </xf>
    <xf numFmtId="0" fontId="32" fillId="2" borderId="0" xfId="0" applyNumberFormat="1" applyFont="1" applyFill="1" applyAlignment="1" applyProtection="1">
      <alignment horizontal="left"/>
    </xf>
    <xf numFmtId="0" fontId="32" fillId="2" borderId="16" xfId="0" applyNumberFormat="1" applyFont="1" applyFill="1" applyBorder="1" applyAlignment="1" applyProtection="1">
      <alignment horizontal="left"/>
    </xf>
    <xf numFmtId="0" fontId="32" fillId="2" borderId="3" xfId="0" applyNumberFormat="1" applyFont="1" applyFill="1" applyBorder="1" applyAlignment="1" applyProtection="1">
      <alignment horizontal="left"/>
    </xf>
    <xf numFmtId="0" fontId="1" fillId="9" borderId="2" xfId="0" applyNumberFormat="1" applyFont="1" applyFill="1" applyBorder="1" applyAlignment="1" applyProtection="1"/>
    <xf numFmtId="0" fontId="2" fillId="3" borderId="16" xfId="0" applyNumberFormat="1" applyFont="1" applyFill="1" applyBorder="1" applyAlignment="1" applyProtection="1">
      <alignment horizontal="left"/>
    </xf>
    <xf numFmtId="0" fontId="1" fillId="3" borderId="2" xfId="0" applyNumberFormat="1" applyFont="1" applyFill="1" applyBorder="1" applyAlignment="1" applyProtection="1">
      <alignment horizontal="right"/>
    </xf>
    <xf numFmtId="0" fontId="9" fillId="2" borderId="15" xfId="0" applyNumberFormat="1" applyFont="1" applyFill="1" applyBorder="1" applyAlignment="1" applyProtection="1">
      <alignment vertical="top" wrapText="1"/>
    </xf>
    <xf numFmtId="0" fontId="7" fillId="9" borderId="14" xfId="0" applyNumberFormat="1" applyFont="1" applyFill="1" applyBorder="1" applyAlignment="1" applyProtection="1"/>
    <xf numFmtId="0" fontId="6" fillId="3" borderId="16" xfId="0" applyNumberFormat="1" applyFont="1" applyFill="1" applyBorder="1" applyAlignment="1" applyProtection="1">
      <alignment horizontal="left"/>
    </xf>
    <xf numFmtId="0" fontId="6" fillId="3" borderId="3" xfId="0" applyNumberFormat="1" applyFont="1" applyFill="1" applyBorder="1" applyAlignment="1" applyProtection="1">
      <alignment horizontal="left"/>
    </xf>
    <xf numFmtId="0" fontId="7" fillId="3" borderId="6" xfId="0" applyNumberFormat="1" applyFont="1" applyFill="1" applyBorder="1" applyAlignment="1" applyProtection="1"/>
    <xf numFmtId="0" fontId="7" fillId="4" borderId="9" xfId="0" applyNumberFormat="1" applyFont="1" applyFill="1" applyBorder="1" applyAlignment="1" applyProtection="1">
      <alignment horizontal="left" indent="2"/>
    </xf>
    <xf numFmtId="0" fontId="32" fillId="2" borderId="11" xfId="0" applyNumberFormat="1" applyFont="1" applyFill="1" applyBorder="1" applyAlignment="1" applyProtection="1">
      <alignment horizontal="left"/>
    </xf>
    <xf numFmtId="0" fontId="1" fillId="9" borderId="14" xfId="0" applyNumberFormat="1" applyFont="1" applyFill="1" applyBorder="1" applyAlignment="1" applyProtection="1"/>
    <xf numFmtId="0" fontId="2" fillId="3" borderId="3" xfId="0" applyNumberFormat="1" applyFont="1" applyFill="1" applyBorder="1" applyAlignment="1" applyProtection="1">
      <alignment horizontal="left"/>
    </xf>
    <xf numFmtId="0" fontId="2" fillId="3" borderId="11" xfId="0" applyNumberFormat="1" applyFont="1" applyFill="1" applyBorder="1" applyAlignment="1" applyProtection="1">
      <alignment horizontal="left"/>
    </xf>
    <xf numFmtId="37" fontId="1" fillId="3" borderId="6" xfId="0" applyNumberFormat="1" applyFont="1" applyFill="1" applyBorder="1" applyAlignment="1" applyProtection="1"/>
    <xf numFmtId="0" fontId="9" fillId="2" borderId="1" xfId="0" applyNumberFormat="1" applyFont="1" applyFill="1" applyBorder="1" applyAlignment="1" applyProtection="1">
      <alignment horizontal="right"/>
    </xf>
    <xf numFmtId="0" fontId="9" fillId="2" borderId="2" xfId="0" applyNumberFormat="1" applyFont="1" applyFill="1" applyBorder="1" applyAlignment="1" applyProtection="1">
      <alignment horizontal="center"/>
    </xf>
    <xf numFmtId="0" fontId="35" fillId="2" borderId="2" xfId="0" applyNumberFormat="1" applyFont="1" applyFill="1" applyBorder="1" applyAlignment="1" applyProtection="1">
      <alignment horizontal="center"/>
    </xf>
    <xf numFmtId="0" fontId="10" fillId="2" borderId="4" xfId="0" applyNumberFormat="1" applyFont="1" applyFill="1" applyBorder="1" applyAlignment="1" applyProtection="1">
      <alignment horizontal="right" wrapText="1"/>
    </xf>
    <xf numFmtId="0" fontId="6" fillId="2" borderId="16" xfId="0" applyNumberFormat="1" applyFont="1" applyFill="1" applyBorder="1" applyAlignment="1" applyProtection="1">
      <alignment horizontal="right"/>
    </xf>
    <xf numFmtId="0" fontId="6" fillId="2" borderId="3" xfId="0" applyNumberFormat="1" applyFont="1" applyFill="1" applyBorder="1" applyAlignment="1" applyProtection="1"/>
    <xf numFmtId="0" fontId="6" fillId="2" borderId="11" xfId="0" applyNumberFormat="1" applyFont="1" applyFill="1" applyBorder="1" applyAlignment="1" applyProtection="1"/>
    <xf numFmtId="0" fontId="12" fillId="3" borderId="2" xfId="0" applyNumberFormat="1" applyFont="1" applyFill="1" applyBorder="1" applyAlignment="1" applyProtection="1"/>
    <xf numFmtId="0" fontId="7" fillId="6" borderId="2" xfId="0" applyNumberFormat="1" applyFont="1" applyFill="1" applyBorder="1" applyAlignment="1" applyProtection="1">
      <alignment horizontal="right"/>
    </xf>
    <xf numFmtId="0" fontId="7" fillId="5" borderId="2" xfId="0" applyNumberFormat="1" applyFont="1" applyFill="1" applyBorder="1" applyAlignment="1" applyProtection="1">
      <alignment horizontal="right"/>
    </xf>
    <xf numFmtId="0" fontId="7" fillId="4" borderId="8" xfId="0" applyNumberFormat="1" applyFont="1" applyFill="1" applyBorder="1" applyAlignment="1" applyProtection="1">
      <alignment horizontal="left" indent="2"/>
    </xf>
    <xf numFmtId="0" fontId="7" fillId="4" borderId="10" xfId="0" applyNumberFormat="1" applyFont="1" applyFill="1" applyBorder="1" applyAlignment="1" applyProtection="1">
      <alignment horizontal="left" indent="2"/>
    </xf>
    <xf numFmtId="0" fontId="7" fillId="6" borderId="0" xfId="0" applyNumberFormat="1" applyFont="1" applyFill="1" applyAlignment="1" applyProtection="1">
      <alignment horizontal="left"/>
    </xf>
    <xf numFmtId="0" fontId="7" fillId="6" borderId="0" xfId="0" applyNumberFormat="1" applyFont="1" applyFill="1" applyAlignment="1" applyProtection="1">
      <alignment horizontal="left" indent="1"/>
    </xf>
    <xf numFmtId="37" fontId="13" fillId="6" borderId="2" xfId="0" applyNumberFormat="1" applyFont="1" applyFill="1" applyBorder="1" applyAlignment="1" applyProtection="1"/>
    <xf numFmtId="0" fontId="7" fillId="6" borderId="8" xfId="0" applyNumberFormat="1" applyFont="1" applyFill="1" applyBorder="1" applyAlignment="1" applyProtection="1">
      <alignment horizontal="left" indent="2"/>
    </xf>
    <xf numFmtId="0" fontId="7" fillId="6" borderId="9" xfId="0" applyNumberFormat="1" applyFont="1" applyFill="1" applyBorder="1" applyAlignment="1" applyProtection="1">
      <alignment horizontal="left" indent="2"/>
    </xf>
    <xf numFmtId="0" fontId="7" fillId="6" borderId="10" xfId="0" applyNumberFormat="1" applyFont="1" applyFill="1" applyBorder="1" applyAlignment="1" applyProtection="1">
      <alignment horizontal="left" indent="2"/>
    </xf>
    <xf numFmtId="0" fontId="7" fillId="5" borderId="8" xfId="0" applyNumberFormat="1" applyFont="1" applyFill="1" applyBorder="1" applyAlignment="1" applyProtection="1">
      <alignment horizontal="left"/>
    </xf>
    <xf numFmtId="0" fontId="6" fillId="5" borderId="9" xfId="0" applyNumberFormat="1" applyFont="1" applyFill="1" applyBorder="1" applyAlignment="1" applyProtection="1">
      <alignment horizontal="left"/>
    </xf>
    <xf numFmtId="0" fontId="32" fillId="2" borderId="14" xfId="0" applyNumberFormat="1" applyFont="1" applyFill="1" applyBorder="1" applyAlignment="1" applyProtection="1">
      <alignment horizontal="right"/>
    </xf>
    <xf numFmtId="0" fontId="32" fillId="2" borderId="0" xfId="0" applyNumberFormat="1" applyFont="1" applyFill="1" applyAlignment="1" applyProtection="1"/>
    <xf numFmtId="0" fontId="32" fillId="2" borderId="4" xfId="0" applyNumberFormat="1" applyFont="1" applyFill="1" applyBorder="1" applyAlignment="1" applyProtection="1">
      <alignment horizontal="center" wrapText="1"/>
    </xf>
    <xf numFmtId="0" fontId="32" fillId="2" borderId="15" xfId="0" applyNumberFormat="1" applyFont="1" applyFill="1" applyBorder="1" applyAlignment="1" applyProtection="1"/>
    <xf numFmtId="0" fontId="33" fillId="2" borderId="4" xfId="0" applyNumberFormat="1" applyFont="1" applyFill="1" applyBorder="1" applyAlignment="1" applyProtection="1">
      <alignment horizontal="right" wrapText="1"/>
    </xf>
    <xf numFmtId="0" fontId="32" fillId="2" borderId="3" xfId="0" applyNumberFormat="1" applyFont="1" applyFill="1" applyBorder="1" applyAlignment="1" applyProtection="1"/>
    <xf numFmtId="0" fontId="32" fillId="2" borderId="11" xfId="0" applyNumberFormat="1" applyFont="1" applyFill="1" applyBorder="1" applyAlignment="1" applyProtection="1"/>
    <xf numFmtId="37" fontId="7" fillId="4" borderId="2" xfId="0" applyNumberFormat="1" applyFont="1" applyFill="1" applyBorder="1" applyAlignment="1" applyProtection="1"/>
    <xf numFmtId="0" fontId="5" fillId="3" borderId="2" xfId="0" applyNumberFormat="1" applyFont="1" applyFill="1" applyBorder="1" applyAlignment="1" applyProtection="1"/>
    <xf numFmtId="37" fontId="7" fillId="3" borderId="2" xfId="0" applyNumberFormat="1" applyFont="1" applyFill="1" applyBorder="1" applyAlignment="1" applyProtection="1"/>
    <xf numFmtId="37" fontId="5" fillId="3" borderId="2" xfId="0" applyNumberFormat="1" applyFont="1" applyFill="1" applyBorder="1" applyAlignment="1" applyProtection="1"/>
    <xf numFmtId="37" fontId="7" fillId="5" borderId="8" xfId="0" applyNumberFormat="1" applyFont="1" applyFill="1" applyBorder="1" applyAlignment="1" applyProtection="1"/>
    <xf numFmtId="0" fontId="4" fillId="7" borderId="8" xfId="0" applyNumberFormat="1" applyFont="1" applyFill="1" applyBorder="1" applyAlignment="1" applyProtection="1"/>
    <xf numFmtId="0" fontId="9" fillId="2" borderId="13" xfId="0" applyNumberFormat="1" applyFont="1" applyFill="1" applyBorder="1" applyAlignment="1" applyProtection="1">
      <alignment vertical="center" wrapText="1"/>
    </xf>
    <xf numFmtId="0" fontId="7" fillId="2" borderId="13" xfId="0" applyNumberFormat="1" applyFont="1" applyFill="1" applyBorder="1" applyAlignment="1" applyProtection="1"/>
    <xf numFmtId="0" fontId="7" fillId="2" borderId="12" xfId="0" applyNumberFormat="1" applyFont="1" applyFill="1" applyBorder="1" applyAlignment="1" applyProtection="1"/>
    <xf numFmtId="0" fontId="9" fillId="2" borderId="3" xfId="0" applyNumberFormat="1" applyFont="1" applyFill="1" applyBorder="1" applyAlignment="1" applyProtection="1">
      <alignment vertical="center" wrapText="1"/>
    </xf>
    <xf numFmtId="0" fontId="10" fillId="2" borderId="14" xfId="0" applyNumberFormat="1" applyFont="1" applyFill="1" applyBorder="1" applyAlignment="1" applyProtection="1"/>
    <xf numFmtId="0" fontId="10" fillId="2" borderId="0" xfId="0" applyNumberFormat="1" applyFont="1" applyFill="1" applyAlignment="1" applyProtection="1">
      <alignment vertical="center" wrapText="1"/>
    </xf>
    <xf numFmtId="168" fontId="7" fillId="11" borderId="2" xfId="0" applyNumberFormat="1" applyFont="1" applyFill="1" applyBorder="1" applyAlignment="1" applyProtection="1">
      <protection locked="0"/>
    </xf>
    <xf numFmtId="0" fontId="7" fillId="4" borderId="0" xfId="0" applyNumberFormat="1" applyFont="1" applyFill="1" applyAlignment="1" applyProtection="1">
      <alignment horizontal="left"/>
    </xf>
    <xf numFmtId="0" fontId="7" fillId="7" borderId="13" xfId="0" applyNumberFormat="1" applyFont="1" applyFill="1" applyBorder="1" applyAlignment="1" applyProtection="1">
      <alignment horizontal="left"/>
    </xf>
    <xf numFmtId="168" fontId="5" fillId="7" borderId="8" xfId="0" applyNumberFormat="1" applyFont="1" applyFill="1" applyBorder="1" applyAlignment="1" applyProtection="1">
      <alignment horizontal="center"/>
    </xf>
    <xf numFmtId="168" fontId="5" fillId="7" borderId="10" xfId="0" applyNumberFormat="1" applyFont="1" applyFill="1" applyBorder="1" applyAlignment="1" applyProtection="1">
      <alignment horizontal="center"/>
    </xf>
    <xf numFmtId="168" fontId="7" fillId="11" borderId="0" xfId="0" applyNumberFormat="1" applyFont="1" applyFill="1" applyAlignment="1" applyProtection="1">
      <protection locked="0"/>
    </xf>
    <xf numFmtId="0" fontId="7" fillId="3" borderId="8" xfId="0" applyNumberFormat="1" applyFont="1" applyFill="1" applyBorder="1" applyAlignment="1" applyProtection="1">
      <alignment horizontal="left"/>
    </xf>
    <xf numFmtId="0" fontId="7" fillId="3" borderId="9" xfId="0" applyNumberFormat="1" applyFont="1" applyFill="1" applyBorder="1" applyAlignment="1" applyProtection="1">
      <alignment horizontal="left"/>
    </xf>
    <xf numFmtId="0" fontId="7" fillId="3" borderId="0" xfId="0" applyNumberFormat="1" applyFont="1" applyFill="1" applyAlignment="1" applyProtection="1"/>
    <xf numFmtId="0" fontId="7" fillId="3" borderId="13" xfId="0" applyNumberFormat="1" applyFont="1" applyFill="1" applyBorder="1" applyAlignment="1" applyProtection="1"/>
    <xf numFmtId="0" fontId="7" fillId="3" borderId="9" xfId="0" applyNumberFormat="1" applyFont="1" applyFill="1" applyBorder="1" applyAlignment="1" applyProtection="1">
      <alignment horizontal="left" indent="1"/>
    </xf>
    <xf numFmtId="37" fontId="5" fillId="3" borderId="2" xfId="0" applyNumberFormat="1" applyFont="1" applyFill="1" applyBorder="1" applyAlignment="1" applyProtection="1">
      <alignment horizontal="right"/>
    </xf>
    <xf numFmtId="0" fontId="7" fillId="5" borderId="0" xfId="0" applyNumberFormat="1" applyFont="1" applyFill="1" applyAlignment="1" applyProtection="1"/>
    <xf numFmtId="0" fontId="7" fillId="5" borderId="13" xfId="0" applyNumberFormat="1" applyFont="1" applyFill="1" applyBorder="1" applyAlignment="1" applyProtection="1"/>
    <xf numFmtId="0" fontId="7" fillId="5" borderId="8" xfId="0" applyNumberFormat="1" applyFont="1" applyFill="1" applyBorder="1" applyAlignment="1" applyProtection="1">
      <alignment horizontal="right"/>
    </xf>
    <xf numFmtId="37" fontId="7" fillId="3" borderId="2" xfId="0" applyNumberFormat="1" applyFont="1" applyFill="1" applyBorder="1" applyAlignment="1" applyProtection="1">
      <alignment horizontal="right"/>
    </xf>
    <xf numFmtId="0" fontId="7" fillId="7" borderId="15" xfId="0" applyNumberFormat="1" applyFont="1" applyFill="1" applyBorder="1" applyAlignment="1" applyProtection="1"/>
    <xf numFmtId="0" fontId="6" fillId="7" borderId="3" xfId="0" applyNumberFormat="1" applyFont="1" applyFill="1" applyBorder="1" applyAlignment="1" applyProtection="1"/>
    <xf numFmtId="37" fontId="7" fillId="7" borderId="2" xfId="0" applyNumberFormat="1" applyFont="1" applyFill="1" applyBorder="1" applyAlignment="1" applyProtection="1">
      <alignment horizontal="left" wrapText="1"/>
      <protection locked="0"/>
    </xf>
    <xf numFmtId="37" fontId="7" fillId="7" borderId="0" xfId="0" applyNumberFormat="1" applyFont="1" applyFill="1" applyAlignment="1" applyProtection="1">
      <alignment horizontal="left" wrapText="1"/>
      <protection locked="0"/>
    </xf>
    <xf numFmtId="0" fontId="4" fillId="5" borderId="9" xfId="0" applyNumberFormat="1" applyFont="1" applyFill="1" applyBorder="1" applyAlignment="1" applyProtection="1">
      <alignment horizontal="left" indent="1"/>
    </xf>
    <xf numFmtId="0" fontId="7" fillId="7" borderId="9" xfId="0" applyNumberFormat="1" applyFont="1" applyFill="1" applyBorder="1" applyAlignment="1" applyProtection="1">
      <alignment horizontal="right"/>
    </xf>
    <xf numFmtId="37" fontId="7" fillId="7" borderId="9" xfId="0" applyNumberFormat="1" applyFont="1" applyFill="1" applyBorder="1" applyAlignment="1" applyProtection="1">
      <alignment horizontal="right"/>
    </xf>
    <xf numFmtId="37" fontId="7" fillId="7" borderId="10" xfId="0" applyNumberFormat="1" applyFont="1" applyFill="1" applyBorder="1" applyAlignment="1" applyProtection="1">
      <alignment horizontal="right"/>
    </xf>
    <xf numFmtId="0" fontId="7" fillId="11" borderId="2" xfId="0" applyNumberFormat="1" applyFont="1" applyFill="1" applyBorder="1" applyAlignment="1" applyProtection="1"/>
    <xf numFmtId="0" fontId="7" fillId="9" borderId="8" xfId="0" applyNumberFormat="1" applyFont="1" applyFill="1" applyBorder="1" applyAlignment="1" applyProtection="1">
      <alignment horizontal="right"/>
    </xf>
    <xf numFmtId="0" fontId="7" fillId="9" borderId="2" xfId="0" applyNumberFormat="1" applyFont="1" applyFill="1" applyBorder="1" applyAlignment="1" applyProtection="1">
      <alignment horizontal="right" vertical="top"/>
    </xf>
    <xf numFmtId="0" fontId="7" fillId="4" borderId="9" xfId="0" applyNumberFormat="1" applyFont="1" applyFill="1" applyBorder="1" applyAlignment="1" applyProtection="1">
      <alignment vertical="top" wrapText="1"/>
    </xf>
    <xf numFmtId="0" fontId="6" fillId="3" borderId="8" xfId="0" applyNumberFormat="1" applyFont="1" applyFill="1" applyBorder="1" applyAlignment="1" applyProtection="1">
      <alignment vertical="center"/>
    </xf>
    <xf numFmtId="0" fontId="6" fillId="3" borderId="9" xfId="0" applyNumberFormat="1" applyFont="1" applyFill="1" applyBorder="1" applyAlignment="1" applyProtection="1">
      <alignment vertical="center"/>
    </xf>
    <xf numFmtId="0" fontId="7" fillId="3" borderId="9" xfId="0" applyNumberFormat="1" applyFont="1" applyFill="1" applyBorder="1" applyAlignment="1" applyProtection="1">
      <alignment vertical="center"/>
    </xf>
    <xf numFmtId="167" fontId="5" fillId="7" borderId="2" xfId="0" applyNumberFormat="1" applyFont="1" applyFill="1" applyBorder="1" applyAlignment="1" applyProtection="1">
      <alignment horizontal="right"/>
      <protection locked="0"/>
    </xf>
    <xf numFmtId="0" fontId="9" fillId="2" borderId="1" xfId="0" applyNumberFormat="1" applyFont="1" applyFill="1" applyBorder="1" applyAlignment="1" applyProtection="1">
      <alignment vertical="center"/>
    </xf>
    <xf numFmtId="0" fontId="9" fillId="2" borderId="14" xfId="0" applyNumberFormat="1" applyFont="1" applyFill="1" applyBorder="1" applyAlignment="1" applyProtection="1">
      <alignment vertical="top" wrapText="1"/>
    </xf>
    <xf numFmtId="0" fontId="10" fillId="2" borderId="16" xfId="0" applyNumberFormat="1" applyFont="1" applyFill="1" applyBorder="1" applyAlignment="1" applyProtection="1"/>
    <xf numFmtId="0" fontId="6" fillId="3" borderId="8" xfId="0" applyNumberFormat="1" applyFont="1" applyFill="1" applyBorder="1" applyAlignment="1" applyProtection="1">
      <alignment horizontal="right"/>
    </xf>
    <xf numFmtId="0" fontId="6" fillId="3" borderId="2" xfId="0" applyNumberFormat="1" applyFont="1" applyFill="1" applyBorder="1" applyAlignment="1" applyProtection="1">
      <alignment horizontal="right"/>
    </xf>
    <xf numFmtId="37" fontId="5" fillId="5" borderId="2" xfId="0" applyNumberFormat="1" applyFont="1" applyFill="1" applyBorder="1" applyAlignment="1" applyProtection="1">
      <alignment horizontal="right"/>
    </xf>
    <xf numFmtId="0" fontId="6" fillId="7" borderId="0" xfId="0" applyNumberFormat="1" applyFont="1" applyFill="1" applyAlignment="1" applyProtection="1"/>
    <xf numFmtId="0" fontId="7" fillId="7" borderId="0" xfId="0" applyNumberFormat="1" applyFont="1" applyFill="1" applyAlignment="1" applyProtection="1">
      <alignment horizontal="right"/>
    </xf>
    <xf numFmtId="2" fontId="5" fillId="7" borderId="2" xfId="0" applyNumberFormat="1" applyFont="1" applyFill="1" applyBorder="1" applyAlignment="1" applyProtection="1">
      <alignment horizontal="right"/>
      <protection locked="0"/>
    </xf>
    <xf numFmtId="2" fontId="4" fillId="7" borderId="2" xfId="0" applyNumberFormat="1" applyFont="1" applyFill="1" applyBorder="1" applyAlignment="1" applyProtection="1">
      <alignment horizontal="right"/>
      <protection locked="0"/>
    </xf>
    <xf numFmtId="2" fontId="7" fillId="5" borderId="2" xfId="0" applyNumberFormat="1" applyFont="1" applyFill="1" applyBorder="1" applyAlignment="1" applyProtection="1">
      <alignment horizontal="right"/>
    </xf>
    <xf numFmtId="2" fontId="26" fillId="5" borderId="2" xfId="0" applyNumberFormat="1" applyFont="1" applyFill="1" applyBorder="1" applyAlignment="1" applyProtection="1">
      <alignment horizontal="right"/>
      <protection locked="0"/>
    </xf>
    <xf numFmtId="0" fontId="7" fillId="7" borderId="3" xfId="0" applyNumberFormat="1" applyFont="1" applyFill="1" applyBorder="1" applyAlignment="1" applyProtection="1"/>
    <xf numFmtId="0" fontId="6" fillId="3" borderId="2" xfId="0" applyNumberFormat="1" applyFont="1" applyFill="1" applyBorder="1" applyAlignment="1" applyProtection="1">
      <alignment horizontal="right" wrapText="1"/>
    </xf>
    <xf numFmtId="0" fontId="7" fillId="7" borderId="1" xfId="0" applyNumberFormat="1" applyFont="1" applyFill="1" applyBorder="1" applyAlignment="1" applyProtection="1">
      <alignment horizontal="center"/>
    </xf>
    <xf numFmtId="0" fontId="7" fillId="7" borderId="13" xfId="0" applyNumberFormat="1" applyFont="1" applyFill="1" applyBorder="1" applyAlignment="1" applyProtection="1">
      <alignment horizontal="left" indent="1"/>
    </xf>
    <xf numFmtId="0" fontId="7" fillId="7" borderId="10" xfId="0" applyNumberFormat="1" applyFont="1" applyFill="1" applyBorder="1" applyAlignment="1" applyProtection="1">
      <alignment horizontal="left"/>
    </xf>
    <xf numFmtId="1" fontId="5" fillId="7" borderId="2" xfId="0" applyNumberFormat="1" applyFont="1" applyFill="1" applyBorder="1" applyAlignment="1" applyProtection="1">
      <alignment horizontal="right"/>
    </xf>
    <xf numFmtId="0" fontId="6" fillId="3" borderId="16" xfId="0" applyNumberFormat="1" applyFont="1" applyFill="1" applyBorder="1" applyAlignment="1" applyProtection="1"/>
    <xf numFmtId="37" fontId="21" fillId="7" borderId="2" xfId="0" applyNumberFormat="1" applyFont="1" applyFill="1" applyBorder="1" applyAlignment="1" applyProtection="1">
      <alignment horizontal="right"/>
    </xf>
    <xf numFmtId="0" fontId="20" fillId="2" borderId="14" xfId="0" applyNumberFormat="1" applyFont="1" applyFill="1" applyBorder="1" applyAlignment="1" applyProtection="1"/>
    <xf numFmtId="0" fontId="20" fillId="2" borderId="0" xfId="0" applyNumberFormat="1" applyFont="1" applyFill="1" applyAlignment="1" applyProtection="1"/>
    <xf numFmtId="0" fontId="20" fillId="2" borderId="15" xfId="0" applyNumberFormat="1" applyFont="1" applyFill="1" applyBorder="1" applyAlignment="1" applyProtection="1"/>
    <xf numFmtId="0" fontId="20" fillId="2" borderId="26" xfId="0" applyNumberFormat="1" applyFont="1" applyFill="1" applyBorder="1" applyAlignment="1" applyProtection="1"/>
    <xf numFmtId="0" fontId="20" fillId="2" borderId="22" xfId="0" applyNumberFormat="1" applyFont="1" applyFill="1" applyBorder="1" applyAlignment="1" applyProtection="1"/>
    <xf numFmtId="0" fontId="9" fillId="2" borderId="22" xfId="0" applyNumberFormat="1" applyFont="1" applyFill="1" applyBorder="1" applyAlignment="1" applyProtection="1"/>
    <xf numFmtId="0" fontId="20" fillId="2" borderId="25" xfId="0" applyNumberFormat="1" applyFont="1" applyFill="1" applyBorder="1" applyAlignment="1" applyProtection="1">
      <alignment horizontal="right"/>
    </xf>
    <xf numFmtId="0" fontId="6" fillId="3" borderId="17" xfId="0" applyNumberFormat="1" applyFont="1" applyFill="1" applyBorder="1" applyAlignment="1" applyProtection="1"/>
    <xf numFmtId="0" fontId="7" fillId="3" borderId="23" xfId="0" applyNumberFormat="1" applyFont="1" applyFill="1" applyBorder="1" applyAlignment="1" applyProtection="1">
      <alignment horizontal="left"/>
    </xf>
    <xf numFmtId="0" fontId="6" fillId="3" borderId="23" xfId="0" applyNumberFormat="1" applyFont="1" applyFill="1" applyBorder="1" applyAlignment="1" applyProtection="1"/>
    <xf numFmtId="0" fontId="6" fillId="3" borderId="18" xfId="0" applyNumberFormat="1" applyFont="1" applyFill="1" applyBorder="1" applyAlignment="1" applyProtection="1"/>
    <xf numFmtId="0" fontId="6" fillId="3" borderId="24" xfId="0" applyNumberFormat="1" applyFont="1" applyFill="1" applyBorder="1" applyAlignment="1" applyProtection="1"/>
    <xf numFmtId="0" fontId="7" fillId="8" borderId="21" xfId="0" applyNumberFormat="1" applyFont="1" applyFill="1" applyBorder="1" applyAlignment="1" applyProtection="1">
      <alignment horizontal="center" vertical="center"/>
    </xf>
    <xf numFmtId="0" fontId="7" fillId="8" borderId="19" xfId="0" applyNumberFormat="1" applyFont="1" applyFill="1" applyBorder="1" applyAlignment="1" applyProtection="1">
      <alignment horizontal="center" vertical="center"/>
    </xf>
    <xf numFmtId="0" fontId="27" fillId="12" borderId="0" xfId="0" applyNumberFormat="1" applyFont="1" applyFill="1" applyAlignment="1" applyProtection="1">
      <alignment horizontal="center"/>
    </xf>
    <xf numFmtId="0" fontId="27" fillId="5" borderId="0" xfId="0" applyNumberFormat="1" applyFont="1" applyFill="1" applyAlignment="1" applyProtection="1">
      <alignment horizontal="center"/>
    </xf>
    <xf numFmtId="0" fontId="27" fillId="15" borderId="0" xfId="0" applyNumberFormat="1" applyFont="1" applyFill="1" applyAlignment="1" applyProtection="1">
      <alignment horizontal="center"/>
    </xf>
    <xf numFmtId="0" fontId="1" fillId="0" borderId="9"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horizontal="left" vertical="center" wrapText="1"/>
      <protection hidden="1"/>
    </xf>
    <xf numFmtId="0" fontId="1" fillId="6" borderId="9" xfId="0" applyNumberFormat="1" applyFont="1" applyFill="1" applyBorder="1" applyAlignment="1" applyProtection="1">
      <alignment horizontal="left" vertical="center" wrapText="1"/>
      <protection hidden="1"/>
    </xf>
    <xf numFmtId="0" fontId="1" fillId="6" borderId="9" xfId="0" applyNumberFormat="1" applyFont="1" applyFill="1" applyBorder="1" applyAlignment="1" applyProtection="1">
      <alignment horizontal="left" vertical="center" wrapText="1"/>
    </xf>
    <xf numFmtId="37" fontId="1" fillId="6" borderId="9" xfId="0" applyNumberFormat="1" applyFont="1" applyFill="1" applyBorder="1" applyAlignment="1" applyProtection="1">
      <alignment horizontal="left" vertical="center" wrapText="1"/>
      <protection hidden="1"/>
    </xf>
    <xf numFmtId="0" fontId="2" fillId="0" borderId="0" xfId="0" applyNumberFormat="1" applyFont="1" applyFill="1" applyAlignment="1" applyProtection="1">
      <alignment horizontal="left" wrapText="1"/>
    </xf>
    <xf numFmtId="0" fontId="1" fillId="7" borderId="8" xfId="0" applyNumberFormat="1" applyFont="1" applyFill="1" applyBorder="1" applyAlignment="1" applyProtection="1">
      <alignment horizontal="left" wrapText="1"/>
    </xf>
    <xf numFmtId="0" fontId="1" fillId="7" borderId="9" xfId="0" applyNumberFormat="1" applyFont="1" applyFill="1" applyBorder="1" applyAlignment="1" applyProtection="1">
      <alignment horizontal="left" wrapText="1"/>
    </xf>
    <xf numFmtId="0" fontId="9" fillId="2" borderId="13" xfId="0" applyNumberFormat="1" applyFont="1" applyFill="1" applyBorder="1" applyAlignment="1" applyProtection="1">
      <alignment horizontal="left" vertical="center" wrapText="1"/>
    </xf>
    <xf numFmtId="0" fontId="9" fillId="2" borderId="0" xfId="0" applyNumberFormat="1" applyFont="1" applyFill="1" applyAlignment="1" applyProtection="1">
      <alignment horizontal="left" vertical="top" wrapText="1"/>
    </xf>
    <xf numFmtId="0" fontId="9" fillId="2" borderId="13" xfId="0" applyNumberFormat="1" applyFont="1" applyFill="1" applyBorder="1" applyAlignment="1" applyProtection="1">
      <alignment horizontal="left" vertical="top" wrapText="1"/>
    </xf>
    <xf numFmtId="0" fontId="10" fillId="2" borderId="8" xfId="0" applyNumberFormat="1" applyFont="1" applyFill="1" applyBorder="1" applyAlignment="1" applyProtection="1">
      <alignment horizontal="center" vertical="center" wrapText="1"/>
    </xf>
    <xf numFmtId="0" fontId="10" fillId="2" borderId="9" xfId="0" applyNumberFormat="1" applyFont="1" applyFill="1" applyBorder="1" applyAlignment="1" applyProtection="1">
      <alignment horizontal="center" vertical="center" wrapText="1"/>
    </xf>
    <xf numFmtId="0" fontId="10" fillId="2" borderId="10" xfId="0" applyNumberFormat="1" applyFont="1" applyFill="1" applyBorder="1" applyAlignment="1" applyProtection="1">
      <alignment horizontal="center" vertical="center" wrapText="1"/>
    </xf>
    <xf numFmtId="0" fontId="7" fillId="4" borderId="8" xfId="0" applyNumberFormat="1" applyFont="1" applyFill="1" applyBorder="1" applyAlignment="1" applyProtection="1">
      <alignment horizontal="left" wrapText="1"/>
    </xf>
    <xf numFmtId="0" fontId="7" fillId="4" borderId="9" xfId="0" applyNumberFormat="1" applyFont="1" applyFill="1" applyBorder="1" applyAlignment="1" applyProtection="1">
      <alignment horizontal="left" wrapText="1"/>
    </xf>
    <xf numFmtId="0" fontId="9" fillId="2" borderId="8" xfId="0" applyNumberFormat="1" applyFont="1" applyFill="1" applyBorder="1" applyAlignment="1" applyProtection="1">
      <alignment horizontal="center" wrapText="1"/>
    </xf>
    <xf numFmtId="0" fontId="9" fillId="2" borderId="9" xfId="0" applyNumberFormat="1" applyFont="1" applyFill="1" applyBorder="1" applyAlignment="1" applyProtection="1">
      <alignment horizontal="center" wrapText="1"/>
    </xf>
    <xf numFmtId="0" fontId="9" fillId="2" borderId="10" xfId="0" applyNumberFormat="1" applyFont="1" applyFill="1" applyBorder="1" applyAlignment="1" applyProtection="1">
      <alignment horizontal="center" wrapText="1"/>
    </xf>
    <xf numFmtId="0" fontId="32" fillId="2" borderId="8" xfId="0" applyNumberFormat="1" applyFont="1" applyFill="1" applyBorder="1" applyAlignment="1" applyProtection="1">
      <alignment horizontal="center"/>
    </xf>
    <xf numFmtId="0" fontId="32" fillId="2" borderId="9" xfId="0" applyNumberFormat="1" applyFont="1" applyFill="1" applyBorder="1" applyAlignment="1" applyProtection="1">
      <alignment horizontal="center"/>
    </xf>
    <xf numFmtId="0" fontId="32" fillId="2" borderId="10" xfId="0" applyNumberFormat="1" applyFont="1" applyFill="1" applyBorder="1" applyAlignment="1" applyProtection="1">
      <alignment horizontal="center"/>
    </xf>
    <xf numFmtId="0" fontId="32" fillId="2" borderId="13" xfId="0" applyNumberFormat="1" applyFont="1" applyFill="1" applyBorder="1" applyAlignment="1" applyProtection="1">
      <alignment horizontal="left" vertical="top" wrapText="1"/>
    </xf>
    <xf numFmtId="0" fontId="32" fillId="2" borderId="13" xfId="0" applyNumberFormat="1" applyFont="1" applyFill="1" applyBorder="1" applyAlignment="1" applyProtection="1">
      <alignment horizontal="center"/>
    </xf>
    <xf numFmtId="0" fontId="32" fillId="2" borderId="12" xfId="0" applyNumberFormat="1" applyFont="1" applyFill="1" applyBorder="1" applyAlignment="1" applyProtection="1">
      <alignment horizontal="center"/>
    </xf>
    <xf numFmtId="0" fontId="9" fillId="2" borderId="1" xfId="0" applyNumberFormat="1" applyFont="1" applyFill="1" applyBorder="1" applyAlignment="1" applyProtection="1">
      <alignment horizontal="center" vertical="center"/>
    </xf>
    <xf numFmtId="0" fontId="9" fillId="2" borderId="13" xfId="0" applyNumberFormat="1" applyFont="1" applyFill="1" applyBorder="1" applyAlignment="1" applyProtection="1">
      <alignment horizontal="center" vertical="center"/>
    </xf>
    <xf numFmtId="0" fontId="9" fillId="2" borderId="12"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0" fontId="9" fillId="2" borderId="13" xfId="0" applyNumberFormat="1" applyFont="1" applyFill="1" applyBorder="1" applyAlignment="1" applyProtection="1">
      <alignment horizontal="center" vertical="center" wrapText="1"/>
    </xf>
    <xf numFmtId="0" fontId="9" fillId="2" borderId="12" xfId="0" applyNumberFormat="1" applyFont="1" applyFill="1" applyBorder="1" applyAlignment="1" applyProtection="1">
      <alignment horizontal="center" vertical="center" wrapText="1"/>
    </xf>
    <xf numFmtId="0" fontId="9" fillId="2" borderId="16"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9" fillId="2" borderId="11"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center" vertical="center" wrapText="1"/>
    </xf>
    <xf numFmtId="0" fontId="9" fillId="2" borderId="11" xfId="0" applyNumberFormat="1" applyFont="1" applyFill="1" applyBorder="1" applyAlignment="1" applyProtection="1">
      <alignment horizontal="center" vertical="center" wrapText="1"/>
    </xf>
    <xf numFmtId="0" fontId="9" fillId="2" borderId="8" xfId="0" applyNumberFormat="1" applyFont="1" applyFill="1" applyBorder="1" applyAlignment="1" applyProtection="1">
      <alignment horizontal="center"/>
    </xf>
    <xf numFmtId="0" fontId="9" fillId="2" borderId="9" xfId="0" applyNumberFormat="1" applyFont="1" applyFill="1" applyBorder="1" applyAlignment="1" applyProtection="1">
      <alignment horizontal="center"/>
    </xf>
    <xf numFmtId="0" fontId="9" fillId="2" borderId="10" xfId="0" applyNumberFormat="1" applyFont="1" applyFill="1" applyBorder="1" applyAlignment="1" applyProtection="1">
      <alignment horizontal="center"/>
    </xf>
    <xf numFmtId="0" fontId="16" fillId="0" borderId="0" xfId="0" applyFont="1" applyAlignment="1">
      <alignment horizontal="center"/>
    </xf>
    <xf numFmtId="0" fontId="6" fillId="5" borderId="8" xfId="0" applyNumberFormat="1" applyFont="1" applyFill="1" applyBorder="1" applyAlignment="1" applyProtection="1">
      <alignment horizontal="left" wrapText="1"/>
    </xf>
    <xf numFmtId="0" fontId="6" fillId="5" borderId="9" xfId="0" applyNumberFormat="1" applyFont="1" applyFill="1" applyBorder="1" applyAlignment="1" applyProtection="1">
      <alignment horizontal="left" wrapText="1"/>
    </xf>
    <xf numFmtId="0" fontId="6" fillId="5" borderId="10" xfId="0" applyNumberFormat="1" applyFont="1" applyFill="1" applyBorder="1" applyAlignment="1" applyProtection="1">
      <alignment horizontal="left" wrapText="1"/>
    </xf>
    <xf numFmtId="0" fontId="7" fillId="0" borderId="0" xfId="0" applyFont="1" applyAlignment="1">
      <alignment horizontal="center" wrapText="1"/>
    </xf>
    <xf numFmtId="0" fontId="7" fillId="3" borderId="8" xfId="0" applyNumberFormat="1" applyFont="1" applyFill="1" applyBorder="1" applyAlignment="1" applyProtection="1">
      <alignment horizontal="left" vertical="center"/>
    </xf>
    <xf numFmtId="0" fontId="7" fillId="3" borderId="9" xfId="0" applyNumberFormat="1" applyFont="1" applyFill="1" applyBorder="1" applyAlignment="1" applyProtection="1">
      <alignment horizontal="left" vertical="center"/>
    </xf>
    <xf numFmtId="0" fontId="7" fillId="0" borderId="9" xfId="0" applyFont="1" applyBorder="1"/>
    <xf numFmtId="0" fontId="7" fillId="0" borderId="10" xfId="0" applyFont="1" applyBorder="1"/>
    <xf numFmtId="37" fontId="7" fillId="5" borderId="8" xfId="0" applyNumberFormat="1" applyFont="1" applyFill="1" applyBorder="1" applyAlignment="1" applyProtection="1">
      <alignment horizontal="center"/>
    </xf>
    <xf numFmtId="37" fontId="7" fillId="5" borderId="10" xfId="0" applyNumberFormat="1" applyFont="1" applyFill="1" applyBorder="1" applyAlignment="1" applyProtection="1">
      <alignment horizontal="center"/>
    </xf>
    <xf numFmtId="0" fontId="7" fillId="4" borderId="8" xfId="0" applyNumberFormat="1" applyFont="1" applyFill="1" applyBorder="1" applyAlignment="1" applyProtection="1">
      <alignment horizontal="left" vertical="top" wrapText="1"/>
    </xf>
    <xf numFmtId="0" fontId="7" fillId="4" borderId="9" xfId="0" applyNumberFormat="1" applyFont="1" applyFill="1" applyBorder="1" applyAlignment="1" applyProtection="1">
      <alignment horizontal="left" vertical="top"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68" fontId="5" fillId="7" borderId="8" xfId="0" applyNumberFormat="1" applyFont="1" applyFill="1" applyBorder="1" applyAlignment="1" applyProtection="1">
      <alignment horizontal="center"/>
      <protection locked="0"/>
    </xf>
    <xf numFmtId="168" fontId="5" fillId="7" borderId="10" xfId="0" applyNumberFormat="1" applyFont="1" applyFill="1" applyBorder="1" applyAlignment="1" applyProtection="1">
      <alignment horizontal="center"/>
      <protection locked="0"/>
    </xf>
    <xf numFmtId="0" fontId="9" fillId="2" borderId="8" xfId="0" applyNumberFormat="1" applyFont="1" applyFill="1" applyBorder="1" applyAlignment="1" applyProtection="1">
      <alignment horizontal="center" vertical="center" wrapText="1"/>
    </xf>
    <xf numFmtId="0" fontId="9" fillId="2" borderId="10" xfId="0" applyNumberFormat="1" applyFont="1" applyFill="1" applyBorder="1" applyAlignment="1" applyProtection="1">
      <alignment horizontal="center" vertical="center" wrapText="1"/>
    </xf>
    <xf numFmtId="0" fontId="10" fillId="2" borderId="0" xfId="0" applyNumberFormat="1" applyFont="1" applyFill="1" applyAlignment="1" applyProtection="1">
      <alignment horizontal="left" vertical="center" wrapText="1"/>
    </xf>
    <xf numFmtId="37" fontId="5" fillId="7" borderId="8" xfId="0" applyNumberFormat="1" applyFont="1" applyFill="1" applyBorder="1" applyAlignment="1" applyProtection="1">
      <alignment horizontal="center"/>
      <protection locked="0"/>
    </xf>
    <xf numFmtId="37" fontId="5" fillId="7" borderId="10" xfId="0" applyNumberFormat="1" applyFont="1" applyFill="1" applyBorder="1" applyAlignment="1" applyProtection="1">
      <alignment horizontal="center"/>
      <protection locked="0"/>
    </xf>
    <xf numFmtId="0" fontId="9" fillId="2" borderId="13" xfId="0" applyNumberFormat="1" applyFont="1" applyFill="1" applyBorder="1" applyAlignment="1" applyProtection="1">
      <alignment vertical="center" wrapText="1"/>
    </xf>
    <xf numFmtId="0" fontId="9" fillId="2" borderId="3" xfId="0" applyNumberFormat="1" applyFont="1" applyFill="1" applyBorder="1" applyAlignment="1" applyProtection="1">
      <alignment vertical="center" wrapText="1"/>
    </xf>
    <xf numFmtId="0" fontId="9" fillId="2" borderId="14" xfId="0" applyNumberFormat="1" applyFont="1" applyFill="1" applyBorder="1" applyAlignment="1" applyProtection="1">
      <alignment wrapText="1"/>
    </xf>
    <xf numFmtId="0" fontId="9" fillId="2" borderId="0" xfId="0" applyNumberFormat="1" applyFont="1" applyFill="1" applyAlignment="1" applyProtection="1">
      <alignment wrapText="1"/>
    </xf>
    <xf numFmtId="0" fontId="6" fillId="3" borderId="8" xfId="0" applyNumberFormat="1" applyFont="1" applyFill="1" applyBorder="1" applyAlignment="1" applyProtection="1">
      <alignment horizontal="left"/>
    </xf>
    <xf numFmtId="0" fontId="6" fillId="3" borderId="9" xfId="0" applyNumberFormat="1" applyFont="1" applyFill="1" applyBorder="1" applyAlignment="1" applyProtection="1">
      <alignment horizontal="left"/>
    </xf>
    <xf numFmtId="0" fontId="6" fillId="3" borderId="8" xfId="0" applyNumberFormat="1" applyFont="1" applyFill="1" applyBorder="1" applyAlignment="1" applyProtection="1">
      <alignment horizontal="left" wrapText="1"/>
    </xf>
    <xf numFmtId="0" fontId="6" fillId="3" borderId="9" xfId="0" applyNumberFormat="1" applyFont="1" applyFill="1" applyBorder="1" applyAlignment="1" applyProtection="1">
      <alignment horizontal="left" wrapText="1"/>
    </xf>
    <xf numFmtId="0" fontId="7" fillId="7" borderId="9" xfId="0" applyNumberFormat="1" applyFont="1" applyFill="1" applyBorder="1" applyAlignment="1" applyProtection="1">
      <alignment horizontal="left"/>
    </xf>
    <xf numFmtId="0" fontId="7" fillId="7" borderId="10" xfId="0" applyNumberFormat="1" applyFont="1" applyFill="1" applyBorder="1" applyAlignment="1" applyProtection="1">
      <alignment horizontal="left"/>
    </xf>
    <xf numFmtId="0" fontId="7" fillId="4" borderId="8" xfId="0" applyNumberFormat="1" applyFont="1" applyFill="1" applyBorder="1" applyAlignment="1" applyProtection="1">
      <alignment horizontal="left"/>
    </xf>
    <xf numFmtId="0" fontId="7" fillId="0" borderId="9" xfId="0" applyFont="1" applyBorder="1" applyAlignment="1">
      <alignment horizontal="left"/>
    </xf>
    <xf numFmtId="0" fontId="7" fillId="0" borderId="10" xfId="0" applyFont="1" applyBorder="1" applyAlignment="1">
      <alignment horizontal="left"/>
    </xf>
    <xf numFmtId="37" fontId="5" fillId="7" borderId="8" xfId="0" applyNumberFormat="1" applyFont="1" applyFill="1" applyBorder="1" applyAlignment="1" applyProtection="1">
      <alignment horizontal="center" wrapText="1"/>
      <protection locked="0"/>
    </xf>
    <xf numFmtId="0" fontId="6" fillId="3" borderId="8" xfId="0" applyNumberFormat="1" applyFont="1" applyFill="1" applyBorder="1" applyAlignment="1" applyProtection="1"/>
    <xf numFmtId="0" fontId="6" fillId="3" borderId="9" xfId="0" applyNumberFormat="1" applyFont="1" applyFill="1" applyBorder="1" applyAlignment="1" applyProtection="1"/>
    <xf numFmtId="0" fontId="6" fillId="3" borderId="10" xfId="0" applyNumberFormat="1" applyFont="1" applyFill="1" applyBorder="1" applyAlignment="1" applyProtection="1"/>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8"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9" fillId="2" borderId="27" xfId="0" applyNumberFormat="1" applyFont="1" applyFill="1" applyBorder="1" applyAlignment="1" applyProtection="1">
      <alignment horizontal="center"/>
    </xf>
    <xf numFmtId="0" fontId="9" fillId="2" borderId="42" xfId="0" applyNumberFormat="1" applyFont="1" applyFill="1" applyBorder="1" applyAlignment="1" applyProtection="1">
      <alignment horizontal="center"/>
    </xf>
    <xf numFmtId="0" fontId="6" fillId="0" borderId="2" xfId="0" applyFont="1" applyBorder="1" applyAlignment="1">
      <alignment vertical="center"/>
    </xf>
    <xf numFmtId="0" fontId="6" fillId="0" borderId="6" xfId="0" applyFont="1" applyBorder="1" applyAlignment="1">
      <alignment vertical="center"/>
    </xf>
  </cellXfs>
  <cellStyles count="11">
    <cellStyle name="Comma 2" xfId="10" xr:uid="{00000000-0005-0000-0000-000039000000}"/>
    <cellStyle name="Heading 1" xfId="2" builtinId="16"/>
    <cellStyle name="Normal" xfId="0" builtinId="0"/>
    <cellStyle name="Normal 2" xfId="1" xr:uid="{00000000-0005-0000-0000-000003000000}"/>
    <cellStyle name="Normal 2 2" xfId="4" xr:uid="{00000000-0005-0000-0000-000004000000}"/>
    <cellStyle name="Normal 3" xfId="3" xr:uid="{00000000-0005-0000-0000-000005000000}"/>
    <cellStyle name="Normal 4" xfId="5" xr:uid="{00000000-0005-0000-0000-000006000000}"/>
    <cellStyle name="Normal 5" xfId="6" xr:uid="{00000000-0005-0000-0000-000007000000}"/>
    <cellStyle name="Percent 2" xfId="7" xr:uid="{00000000-0005-0000-0000-000009000000}"/>
    <cellStyle name="Percent 3" xfId="8" xr:uid="{00000000-0005-0000-0000-00000A000000}"/>
    <cellStyle name="Percent 4" xfId="9" xr:uid="{00000000-0005-0000-0000-00000B000000}"/>
  </cellStyles>
  <dxfs count="74">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FF66"/>
        </patternFill>
      </fill>
    </dxf>
    <dxf>
      <fill>
        <patternFill patternType="solid">
          <fgColor auto="1"/>
          <bgColor rgb="FFFFFF66"/>
        </patternFill>
      </fill>
    </dxf>
    <dxf>
      <fill>
        <patternFill patternType="solid">
          <fgColor auto="1"/>
          <bgColor rgb="FFFF8585"/>
        </patternFill>
      </fill>
    </dxf>
    <dxf>
      <fill>
        <patternFill patternType="solid">
          <fgColor auto="1"/>
          <bgColor rgb="FFFF8585"/>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FF66"/>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ill>
        <patternFill patternType="solid">
          <fgColor auto="1"/>
          <bgColor rgb="FFFF8585"/>
        </patternFill>
      </fill>
    </dxf>
    <dxf>
      <font>
        <color rgb="FFFF0000"/>
      </font>
    </dxf>
    <dxf>
      <font>
        <color indexed="47"/>
      </font>
    </dxf>
  </dxfs>
  <tableStyles count="0" defaultTableStyle="TableStyleMedium2" defaultPivotStyle="PivotStyleLight16"/>
  <colors>
    <mruColors>
      <color rgb="FFDDE1EB"/>
      <color rgb="FFAFC0EF"/>
      <color rgb="FFFFFF66"/>
      <color rgb="FF0000FF"/>
      <color rgb="FFBF8F00"/>
      <color rgb="FFFFCC00"/>
      <color rgb="FF647B96"/>
      <color rgb="FFFF8585"/>
      <color rgb="FFFF8F8F"/>
      <color rgb="FFFF8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esa.ac.uk/collection/24031/" TargetMode="External"/><Relationship Id="rId1" Type="http://schemas.openxmlformats.org/officeDocument/2006/relationships/hyperlink" Target="mailto:liaison@hesa.ac.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00EE-59B9-4583-A305-643CDCCA7D51}">
  <sheetPr codeName="Sheet4"/>
  <dimension ref="A1:M79"/>
  <sheetViews>
    <sheetView topLeftCell="A3" zoomScale="90" zoomScaleNormal="90" workbookViewId="0">
      <selection activeCell="F47" sqref="F47"/>
    </sheetView>
  </sheetViews>
  <sheetFormatPr defaultColWidth="9.1796875" defaultRowHeight="12.5" x14ac:dyDescent="0.25"/>
  <cols>
    <col min="1" max="1" width="48.81640625" style="25" customWidth="1"/>
    <col min="2" max="2" width="38.1796875" style="25" bestFit="1" customWidth="1"/>
    <col min="3" max="3" width="44.54296875" style="25" customWidth="1"/>
    <col min="4" max="4" width="9.1796875" style="25" customWidth="1"/>
    <col min="5" max="5" width="22.1796875" style="25" bestFit="1" customWidth="1"/>
    <col min="6" max="6" width="12.453125" style="25" bestFit="1" customWidth="1"/>
    <col min="7" max="7" width="7.453125" style="25" bestFit="1" customWidth="1"/>
    <col min="8" max="8" width="9.1796875" style="25" customWidth="1"/>
    <col min="9" max="16384" width="9.1796875" style="25"/>
  </cols>
  <sheetData>
    <row r="1" spans="1:13" customFormat="1" ht="14.75" customHeight="1" thickBot="1" x14ac:dyDescent="0.4">
      <c r="A1" s="36" t="s">
        <v>0</v>
      </c>
      <c r="B1" s="37" t="s">
        <v>1</v>
      </c>
      <c r="M1" s="36"/>
    </row>
    <row r="2" spans="1:13" x14ac:dyDescent="0.25">
      <c r="A2" s="27" t="s">
        <v>2</v>
      </c>
      <c r="M2" s="38"/>
    </row>
    <row r="3" spans="1:13" x14ac:dyDescent="0.25">
      <c r="A3" s="27" t="s">
        <v>3</v>
      </c>
    </row>
    <row r="4" spans="1:13" x14ac:dyDescent="0.25">
      <c r="A4" s="27" t="s">
        <v>4</v>
      </c>
    </row>
    <row r="5" spans="1:13" x14ac:dyDescent="0.25">
      <c r="A5" s="27" t="s">
        <v>5</v>
      </c>
    </row>
    <row r="6" spans="1:13" x14ac:dyDescent="0.25">
      <c r="A6" s="27" t="s">
        <v>6</v>
      </c>
    </row>
    <row r="7" spans="1:13" x14ac:dyDescent="0.25">
      <c r="A7" s="27" t="s">
        <v>7</v>
      </c>
    </row>
    <row r="8" spans="1:13" x14ac:dyDescent="0.25">
      <c r="A8" s="27" t="s">
        <v>8</v>
      </c>
    </row>
    <row r="9" spans="1:13" x14ac:dyDescent="0.25">
      <c r="A9" s="27" t="s">
        <v>9</v>
      </c>
    </row>
    <row r="10" spans="1:13" x14ac:dyDescent="0.25">
      <c r="A10" s="27" t="s">
        <v>10</v>
      </c>
    </row>
    <row r="12" spans="1:13" ht="13" x14ac:dyDescent="0.3">
      <c r="A12" s="668" t="s">
        <v>11</v>
      </c>
      <c r="B12" s="668"/>
      <c r="C12" s="668"/>
      <c r="E12" s="668" t="s">
        <v>11</v>
      </c>
      <c r="F12" s="668"/>
      <c r="G12" s="668"/>
    </row>
    <row r="13" spans="1:13" x14ac:dyDescent="0.25">
      <c r="A13" s="180" t="s">
        <v>2</v>
      </c>
      <c r="B13" s="181" t="s">
        <v>12</v>
      </c>
      <c r="C13" s="182" t="s">
        <v>5</v>
      </c>
      <c r="E13" s="180" t="s">
        <v>13</v>
      </c>
      <c r="F13" s="181" t="s">
        <v>12</v>
      </c>
      <c r="G13" s="182" t="s">
        <v>2</v>
      </c>
    </row>
    <row r="14" spans="1:13" x14ac:dyDescent="0.25">
      <c r="A14" s="180" t="s">
        <v>4</v>
      </c>
      <c r="B14" s="181" t="s">
        <v>12</v>
      </c>
      <c r="C14" s="182" t="s">
        <v>3</v>
      </c>
      <c r="E14" s="180" t="s">
        <v>4</v>
      </c>
      <c r="F14" s="181" t="s">
        <v>12</v>
      </c>
      <c r="G14" s="182" t="s">
        <v>3</v>
      </c>
    </row>
    <row r="15" spans="1:13" x14ac:dyDescent="0.25">
      <c r="A15" s="180" t="s">
        <v>14</v>
      </c>
      <c r="B15" s="181" t="s">
        <v>12</v>
      </c>
      <c r="C15" s="182" t="s">
        <v>7</v>
      </c>
      <c r="E15" s="180" t="s">
        <v>15</v>
      </c>
      <c r="F15" s="181" t="s">
        <v>12</v>
      </c>
      <c r="G15" s="182" t="s">
        <v>5</v>
      </c>
    </row>
    <row r="16" spans="1:13" x14ac:dyDescent="0.25">
      <c r="A16" s="180" t="s">
        <v>6</v>
      </c>
      <c r="B16" s="181" t="s">
        <v>12</v>
      </c>
      <c r="C16" s="182" t="s">
        <v>7</v>
      </c>
      <c r="E16" s="180" t="s">
        <v>16</v>
      </c>
      <c r="F16" s="181" t="s">
        <v>12</v>
      </c>
      <c r="G16" s="182" t="s">
        <v>7</v>
      </c>
    </row>
    <row r="17" spans="1:10" x14ac:dyDescent="0.25">
      <c r="A17" s="180" t="s">
        <v>7</v>
      </c>
      <c r="B17" s="181" t="s">
        <v>12</v>
      </c>
      <c r="C17" s="182" t="s">
        <v>2</v>
      </c>
    </row>
    <row r="18" spans="1:10" customFormat="1" ht="14.75" customHeight="1" thickBot="1" x14ac:dyDescent="0.4">
      <c r="A18" s="180" t="s">
        <v>17</v>
      </c>
      <c r="B18" s="181" t="s">
        <v>12</v>
      </c>
      <c r="C18" s="182" t="s">
        <v>7</v>
      </c>
    </row>
    <row r="19" spans="1:10" customFormat="1" ht="14.75" customHeight="1" thickBot="1" x14ac:dyDescent="0.4">
      <c r="A19" s="180" t="s">
        <v>18</v>
      </c>
      <c r="B19" s="181" t="s">
        <v>12</v>
      </c>
      <c r="C19" s="182" t="s">
        <v>2</v>
      </c>
      <c r="E19" s="39" t="s">
        <v>19</v>
      </c>
      <c r="F19" s="40">
        <v>4</v>
      </c>
      <c r="G19" s="41">
        <v>8</v>
      </c>
      <c r="H19" s="42">
        <v>9</v>
      </c>
      <c r="I19" s="42">
        <v>10</v>
      </c>
      <c r="J19" s="43">
        <v>12</v>
      </c>
    </row>
    <row r="20" spans="1:10" customFormat="1" ht="14.75" customHeight="1" thickBot="1" x14ac:dyDescent="0.4">
      <c r="A20" s="180" t="s">
        <v>18</v>
      </c>
      <c r="B20" s="181" t="s">
        <v>12</v>
      </c>
      <c r="C20" s="182" t="s">
        <v>5</v>
      </c>
      <c r="E20" s="44">
        <v>2</v>
      </c>
      <c r="F20" s="35">
        <v>5</v>
      </c>
    </row>
    <row r="21" spans="1:10" x14ac:dyDescent="0.25">
      <c r="A21" s="180" t="s">
        <v>9</v>
      </c>
      <c r="B21" s="181" t="s">
        <v>12</v>
      </c>
      <c r="C21" s="182" t="s">
        <v>2</v>
      </c>
      <c r="F21" s="35" t="s">
        <v>20</v>
      </c>
    </row>
    <row r="22" spans="1:10" x14ac:dyDescent="0.25">
      <c r="A22" s="45"/>
      <c r="B22" s="45"/>
      <c r="C22" s="45"/>
      <c r="F22" s="28"/>
    </row>
    <row r="23" spans="1:10" customFormat="1" ht="14.75" customHeight="1" thickBot="1" x14ac:dyDescent="0.4">
      <c r="A23" s="36" t="s">
        <v>21</v>
      </c>
      <c r="F23" s="46">
        <v>6</v>
      </c>
    </row>
    <row r="24" spans="1:10" ht="13" x14ac:dyDescent="0.3">
      <c r="A24" s="27" t="s">
        <v>22</v>
      </c>
      <c r="F24" s="47">
        <v>6</v>
      </c>
    </row>
    <row r="25" spans="1:10" x14ac:dyDescent="0.25">
      <c r="F25" s="35">
        <v>7</v>
      </c>
    </row>
    <row r="26" spans="1:10" ht="13" x14ac:dyDescent="0.3">
      <c r="A26" s="36" t="s">
        <v>23</v>
      </c>
      <c r="F26" s="35">
        <v>11</v>
      </c>
    </row>
    <row r="27" spans="1:10" x14ac:dyDescent="0.25">
      <c r="A27" s="27" t="s">
        <v>24</v>
      </c>
      <c r="F27" s="28"/>
    </row>
    <row r="28" spans="1:10" customFormat="1" ht="14.75" customHeight="1" thickBot="1" x14ac:dyDescent="0.4">
      <c r="A28" s="34" t="s">
        <v>25</v>
      </c>
      <c r="F28" s="46">
        <v>1</v>
      </c>
    </row>
    <row r="29" spans="1:10" ht="13" x14ac:dyDescent="0.3">
      <c r="A29" s="34" t="s">
        <v>26</v>
      </c>
      <c r="F29" s="47">
        <v>1</v>
      </c>
    </row>
    <row r="30" spans="1:10" x14ac:dyDescent="0.25">
      <c r="A30" s="34" t="s">
        <v>27</v>
      </c>
      <c r="F30" s="35"/>
    </row>
    <row r="31" spans="1:10" customFormat="1" ht="14.75" customHeight="1" thickBot="1" x14ac:dyDescent="0.4">
      <c r="F31" s="48">
        <v>3</v>
      </c>
    </row>
    <row r="32" spans="1:10" ht="13" x14ac:dyDescent="0.3">
      <c r="A32" s="36" t="s">
        <v>28</v>
      </c>
    </row>
    <row r="33" spans="1:6" x14ac:dyDescent="0.25">
      <c r="A33" s="27" t="s">
        <v>29</v>
      </c>
    </row>
    <row r="34" spans="1:6" x14ac:dyDescent="0.25">
      <c r="A34" s="27" t="s">
        <v>30</v>
      </c>
    </row>
    <row r="36" spans="1:6" ht="13" x14ac:dyDescent="0.3">
      <c r="A36" s="36" t="s">
        <v>31</v>
      </c>
    </row>
    <row r="37" spans="1:6" customFormat="1" ht="14.75" customHeight="1" thickBot="1" x14ac:dyDescent="0.4"/>
    <row r="38" spans="1:6" customFormat="1" ht="14.75" customHeight="1" thickBot="1" x14ac:dyDescent="0.4">
      <c r="A38" s="49" t="s">
        <v>32</v>
      </c>
      <c r="B38" s="50" t="s">
        <v>33</v>
      </c>
      <c r="C38" s="49" t="s">
        <v>34</v>
      </c>
    </row>
    <row r="39" spans="1:6" customFormat="1" ht="25" customHeight="1" thickBot="1" x14ac:dyDescent="0.4">
      <c r="A39" s="147" t="s">
        <v>35</v>
      </c>
      <c r="B39" s="149" t="s">
        <v>35</v>
      </c>
      <c r="C39" s="147" t="s">
        <v>35</v>
      </c>
    </row>
    <row r="40" spans="1:6" customFormat="1" ht="14.75" customHeight="1" thickBot="1" x14ac:dyDescent="0.4">
      <c r="A40" s="150" t="s">
        <v>36</v>
      </c>
      <c r="B40" s="183"/>
      <c r="C40" s="184"/>
    </row>
    <row r="41" spans="1:6" customFormat="1" ht="14.75" customHeight="1" thickBot="1" x14ac:dyDescent="0.4">
      <c r="A41" s="147" t="s">
        <v>37</v>
      </c>
      <c r="B41" s="149" t="s">
        <v>38</v>
      </c>
      <c r="C41" s="147" t="s">
        <v>38</v>
      </c>
    </row>
    <row r="42" spans="1:6" customFormat="1" ht="25" customHeight="1" thickBot="1" x14ac:dyDescent="0.4">
      <c r="A42" s="147" t="s">
        <v>39</v>
      </c>
      <c r="B42" s="148" t="s">
        <v>40</v>
      </c>
      <c r="C42" s="147" t="s">
        <v>41</v>
      </c>
    </row>
    <row r="43" spans="1:6" customFormat="1" ht="14.75" customHeight="1" thickBot="1" x14ac:dyDescent="0.4">
      <c r="A43" s="147" t="s">
        <v>42</v>
      </c>
      <c r="B43" s="149" t="s">
        <v>43</v>
      </c>
      <c r="C43" s="147" t="s">
        <v>43</v>
      </c>
    </row>
    <row r="44" spans="1:6" customFormat="1" ht="37.25" customHeight="1" thickBot="1" x14ac:dyDescent="0.4">
      <c r="A44" s="147" t="s">
        <v>44</v>
      </c>
      <c r="B44" s="149" t="s">
        <v>45</v>
      </c>
      <c r="C44" s="147" t="s">
        <v>46</v>
      </c>
    </row>
    <row r="45" spans="1:6" customFormat="1" ht="37.25" customHeight="1" thickBot="1" x14ac:dyDescent="0.4">
      <c r="A45" s="147" t="s">
        <v>47</v>
      </c>
      <c r="B45" s="149" t="s">
        <v>48</v>
      </c>
      <c r="C45" s="147" t="s">
        <v>49</v>
      </c>
    </row>
    <row r="46" spans="1:6" customFormat="1" ht="14.75" customHeight="1" thickBot="1" x14ac:dyDescent="0.4">
      <c r="A46" s="147" t="s">
        <v>50</v>
      </c>
      <c r="B46" s="149" t="s">
        <v>51</v>
      </c>
      <c r="C46" s="147" t="s">
        <v>52</v>
      </c>
    </row>
    <row r="47" spans="1:6" customFormat="1" ht="14.75" customHeight="1" thickBot="1" x14ac:dyDescent="0.4">
      <c r="A47" s="147" t="s">
        <v>53</v>
      </c>
      <c r="B47" s="148" t="s">
        <v>40</v>
      </c>
      <c r="C47" s="147" t="s">
        <v>54</v>
      </c>
      <c r="F47" s="27"/>
    </row>
    <row r="48" spans="1:6" customFormat="1" ht="14.75" customHeight="1" thickBot="1" x14ac:dyDescent="0.4">
      <c r="A48" s="147" t="s">
        <v>55</v>
      </c>
      <c r="B48" s="148" t="s">
        <v>40</v>
      </c>
      <c r="C48" s="147" t="s">
        <v>56</v>
      </c>
    </row>
    <row r="49" spans="1:3" customFormat="1" ht="25" customHeight="1" thickBot="1" x14ac:dyDescent="0.4">
      <c r="A49" s="147" t="s">
        <v>57</v>
      </c>
      <c r="B49" s="148" t="s">
        <v>40</v>
      </c>
      <c r="C49" s="147" t="s">
        <v>58</v>
      </c>
    </row>
    <row r="50" spans="1:3" customFormat="1" ht="25" customHeight="1" thickBot="1" x14ac:dyDescent="0.4">
      <c r="A50" s="147" t="s">
        <v>59</v>
      </c>
      <c r="B50" s="149" t="s">
        <v>60</v>
      </c>
      <c r="C50" s="147" t="s">
        <v>61</v>
      </c>
    </row>
    <row r="51" spans="1:3" customFormat="1" ht="14.75" customHeight="1" thickBot="1" x14ac:dyDescent="0.4">
      <c r="A51" s="147" t="s">
        <v>62</v>
      </c>
      <c r="B51" s="149" t="s">
        <v>63</v>
      </c>
      <c r="C51" s="147" t="s">
        <v>64</v>
      </c>
    </row>
    <row r="52" spans="1:3" customFormat="1" ht="37.25" customHeight="1" thickBot="1" x14ac:dyDescent="0.4">
      <c r="A52" s="147" t="s">
        <v>65</v>
      </c>
      <c r="B52" s="148" t="s">
        <v>66</v>
      </c>
      <c r="C52" s="147" t="s">
        <v>67</v>
      </c>
    </row>
    <row r="53" spans="1:3" customFormat="1" ht="14.75" customHeight="1" thickBot="1" x14ac:dyDescent="0.4">
      <c r="A53" s="147" t="s">
        <v>68</v>
      </c>
      <c r="B53" s="149" t="s">
        <v>68</v>
      </c>
      <c r="C53" s="147" t="s">
        <v>69</v>
      </c>
    </row>
    <row r="54" spans="1:3" customFormat="1" ht="14.75" customHeight="1" thickBot="1" x14ac:dyDescent="0.4">
      <c r="A54" s="147" t="s">
        <v>70</v>
      </c>
      <c r="B54" s="149" t="s">
        <v>71</v>
      </c>
      <c r="C54" s="147" t="s">
        <v>72</v>
      </c>
    </row>
    <row r="55" spans="1:3" customFormat="1" ht="25" customHeight="1" thickBot="1" x14ac:dyDescent="0.4">
      <c r="A55" s="147" t="s">
        <v>73</v>
      </c>
      <c r="B55" s="149" t="s">
        <v>74</v>
      </c>
      <c r="C55" s="147" t="s">
        <v>75</v>
      </c>
    </row>
    <row r="56" spans="1:3" customFormat="1" ht="14.75" customHeight="1" thickBot="1" x14ac:dyDescent="0.4">
      <c r="A56" s="147" t="s">
        <v>76</v>
      </c>
      <c r="B56" s="148" t="s">
        <v>66</v>
      </c>
      <c r="C56" s="147" t="s">
        <v>76</v>
      </c>
    </row>
    <row r="57" spans="1:3" customFormat="1" ht="14.75" customHeight="1" thickBot="1" x14ac:dyDescent="0.4">
      <c r="A57" s="150" t="s">
        <v>66</v>
      </c>
      <c r="B57" s="149" t="s">
        <v>77</v>
      </c>
      <c r="C57" s="150" t="s">
        <v>66</v>
      </c>
    </row>
    <row r="58" spans="1:3" customFormat="1" ht="14.75" customHeight="1" thickBot="1" x14ac:dyDescent="0.4">
      <c r="A58" s="150" t="s">
        <v>66</v>
      </c>
      <c r="B58" s="149" t="s">
        <v>78</v>
      </c>
      <c r="C58" s="150" t="s">
        <v>66</v>
      </c>
    </row>
    <row r="59" spans="1:3" customFormat="1" ht="14.75" customHeight="1" thickBot="1" x14ac:dyDescent="0.4">
      <c r="A59" s="150" t="s">
        <v>66</v>
      </c>
      <c r="B59" s="149" t="s">
        <v>79</v>
      </c>
      <c r="C59" s="150" t="s">
        <v>66</v>
      </c>
    </row>
    <row r="61" spans="1:3" customFormat="1" ht="32.5" customHeight="1" x14ac:dyDescent="0.35">
      <c r="A61" s="151" t="s">
        <v>80</v>
      </c>
    </row>
    <row r="63" spans="1:3" customFormat="1" ht="16.25" customHeight="1" x14ac:dyDescent="0.35">
      <c r="A63" s="152" t="s">
        <v>81</v>
      </c>
    </row>
    <row r="64" spans="1:3" customFormat="1" ht="16.25" customHeight="1" x14ac:dyDescent="0.35">
      <c r="A64" s="152" t="s">
        <v>82</v>
      </c>
    </row>
    <row r="65" spans="1:1" customFormat="1" ht="16.25" customHeight="1" x14ac:dyDescent="0.35">
      <c r="A65" s="152" t="s">
        <v>83</v>
      </c>
    </row>
    <row r="66" spans="1:1" customFormat="1" ht="16.25" customHeight="1" x14ac:dyDescent="0.35">
      <c r="A66" s="152" t="s">
        <v>84</v>
      </c>
    </row>
    <row r="67" spans="1:1" customFormat="1" ht="16.25" customHeight="1" x14ac:dyDescent="0.35">
      <c r="A67" s="152" t="s">
        <v>85</v>
      </c>
    </row>
    <row r="68" spans="1:1" customFormat="1" ht="16.25" customHeight="1" x14ac:dyDescent="0.35">
      <c r="A68" s="152" t="s">
        <v>86</v>
      </c>
    </row>
    <row r="69" spans="1:1" customFormat="1" ht="16.25" customHeight="1" x14ac:dyDescent="0.35">
      <c r="A69" s="152" t="s">
        <v>87</v>
      </c>
    </row>
    <row r="70" spans="1:1" customFormat="1" ht="16.25" customHeight="1" x14ac:dyDescent="0.35">
      <c r="A70" s="152" t="s">
        <v>88</v>
      </c>
    </row>
    <row r="71" spans="1:1" customFormat="1" ht="16.25" customHeight="1" x14ac:dyDescent="0.35">
      <c r="A71" s="152" t="s">
        <v>89</v>
      </c>
    </row>
    <row r="72" spans="1:1" customFormat="1" ht="16.25" customHeight="1" x14ac:dyDescent="0.35">
      <c r="A72" s="152" t="s">
        <v>90</v>
      </c>
    </row>
    <row r="73" spans="1:1" customFormat="1" ht="16.25" customHeight="1" x14ac:dyDescent="0.35">
      <c r="A73" s="152" t="s">
        <v>91</v>
      </c>
    </row>
    <row r="74" spans="1:1" x14ac:dyDescent="0.25">
      <c r="A74" s="27"/>
    </row>
    <row r="75" spans="1:1" customFormat="1" ht="16.25" customHeight="1" x14ac:dyDescent="0.35">
      <c r="A75" s="152" t="s">
        <v>92</v>
      </c>
    </row>
    <row r="76" spans="1:1" x14ac:dyDescent="0.25">
      <c r="A76" s="51"/>
    </row>
    <row r="77" spans="1:1" customFormat="1" ht="16.25" customHeight="1" x14ac:dyDescent="0.35">
      <c r="A77" s="51" t="s">
        <v>93</v>
      </c>
    </row>
    <row r="78" spans="1:1" customFormat="1" ht="16.25" customHeight="1" x14ac:dyDescent="0.35">
      <c r="A78" s="51" t="s">
        <v>94</v>
      </c>
    </row>
    <row r="79" spans="1:1" customFormat="1" ht="16.25" customHeight="1" x14ac:dyDescent="0.35">
      <c r="A79" s="51" t="s">
        <v>95</v>
      </c>
    </row>
  </sheetData>
  <mergeCells count="2">
    <mergeCell ref="A12:C12"/>
    <mergeCell ref="E12:G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E74"/>
  <sheetViews>
    <sheetView zoomScale="80" zoomScaleNormal="80" workbookViewId="0">
      <pane xSplit="7" ySplit="6" topLeftCell="J7" activePane="bottomRight" state="frozenSplit"/>
      <selection activeCell="P23" sqref="P23 P23:Q23"/>
      <selection pane="topRight"/>
      <selection pane="bottomLeft"/>
      <selection pane="bottomRight" activeCell="K19" sqref="K19"/>
    </sheetView>
  </sheetViews>
  <sheetFormatPr defaultColWidth="9.81640625" defaultRowHeight="12.5" x14ac:dyDescent="0.25"/>
  <cols>
    <col min="1" max="1" width="10" style="114" bestFit="1" customWidth="1"/>
    <col min="2" max="2" width="2.81640625" style="25" customWidth="1"/>
    <col min="3" max="3" width="5.1796875" style="25" customWidth="1"/>
    <col min="4" max="4" width="68.81640625" style="25" customWidth="1"/>
    <col min="5" max="5" width="2.81640625" style="25" hidden="1" customWidth="1"/>
    <col min="6" max="7" width="4.1796875" style="25" hidden="1" customWidth="1"/>
    <col min="8" max="9" width="24.81640625" style="25" customWidth="1"/>
    <col min="10" max="10" width="12" style="25" customWidth="1"/>
    <col min="11" max="11" width="12.54296875" style="25" customWidth="1"/>
    <col min="12" max="12" width="24.81640625" style="25" customWidth="1"/>
    <col min="13" max="13" width="24.54296875" style="25" customWidth="1"/>
    <col min="14" max="14" width="11.81640625" style="25" customWidth="1"/>
    <col min="15" max="15" width="12.1796875" style="25" customWidth="1"/>
    <col min="16" max="16" width="15.81640625" style="25" hidden="1" customWidth="1"/>
    <col min="17" max="17" width="21.81640625" style="25" hidden="1" customWidth="1"/>
    <col min="18" max="19" width="7.81640625" style="25" hidden="1" customWidth="1"/>
    <col min="20" max="20" width="9" style="27" hidden="1" customWidth="1"/>
    <col min="21" max="21" width="16.453125" style="27" hidden="1" customWidth="1"/>
    <col min="22" max="22" width="23.453125" style="25" hidden="1" customWidth="1"/>
    <col min="23" max="23" width="6.81640625" style="25" hidden="1" customWidth="1"/>
    <col min="24" max="24" width="84.81640625" style="25" customWidth="1"/>
    <col min="25" max="25" width="5.1796875" style="25" hidden="1" customWidth="1"/>
    <col min="26" max="26" width="8" style="25" hidden="1" customWidth="1"/>
    <col min="27" max="28" width="9.81640625" style="25" hidden="1" customWidth="1"/>
    <col min="29" max="29" width="14.1796875" style="25" hidden="1" customWidth="1"/>
    <col min="30" max="31" width="9.81640625" style="25" hidden="1" customWidth="1"/>
    <col min="32" max="32" width="9.81640625" style="25" customWidth="1"/>
    <col min="33" max="16384" width="9.81640625" style="25"/>
  </cols>
  <sheetData>
    <row r="1" spans="1:31" customFormat="1" ht="40" customHeight="1" thickBot="1" x14ac:dyDescent="0.4">
      <c r="A1" s="450" t="s">
        <v>959</v>
      </c>
      <c r="B1" s="693" t="s">
        <v>960</v>
      </c>
      <c r="C1" s="693"/>
      <c r="D1" s="693"/>
      <c r="E1" s="693"/>
      <c r="F1" s="693"/>
      <c r="G1" s="451"/>
      <c r="H1" s="694"/>
      <c r="I1" s="694"/>
      <c r="J1" s="694"/>
      <c r="K1" s="695"/>
      <c r="L1" s="696" t="s">
        <v>599</v>
      </c>
      <c r="M1" s="697"/>
      <c r="N1" s="697"/>
      <c r="O1" s="698"/>
      <c r="P1" s="699" t="s">
        <v>961</v>
      </c>
      <c r="Q1" s="700"/>
      <c r="R1" s="700"/>
      <c r="S1" s="701"/>
      <c r="T1" s="60"/>
      <c r="Z1" s="27"/>
      <c r="AA1" s="27"/>
      <c r="AB1" s="27"/>
      <c r="AC1" s="279" t="str">
        <f>Title_Page!H105</f>
        <v>FAIL</v>
      </c>
      <c r="AD1" s="27"/>
      <c r="AE1" s="279"/>
    </row>
    <row r="2" spans="1:31" customFormat="1" ht="25" customHeight="1" x14ac:dyDescent="0.35">
      <c r="A2" s="452"/>
      <c r="B2" s="453"/>
      <c r="C2" s="453"/>
      <c r="D2" s="453"/>
      <c r="E2" s="453"/>
      <c r="F2" s="453"/>
      <c r="G2" s="453"/>
      <c r="H2" s="454"/>
      <c r="I2" s="454"/>
      <c r="J2" s="454"/>
      <c r="K2" s="455"/>
      <c r="L2" s="702" t="s">
        <v>600</v>
      </c>
      <c r="M2" s="703"/>
      <c r="N2" s="703"/>
      <c r="O2" s="704"/>
      <c r="P2" s="705" t="s">
        <v>601</v>
      </c>
      <c r="Q2" s="706"/>
      <c r="R2" s="706"/>
      <c r="S2" s="707"/>
      <c r="T2" s="60"/>
      <c r="Z2" s="89" t="s">
        <v>602</v>
      </c>
      <c r="AA2" s="64"/>
      <c r="AB2" s="64"/>
      <c r="AC2" s="65"/>
      <c r="AD2" s="27"/>
      <c r="AE2" s="27" t="s">
        <v>603</v>
      </c>
    </row>
    <row r="3" spans="1:31" customFormat="1" ht="28.4" customHeight="1" x14ac:dyDescent="0.35">
      <c r="A3" s="452"/>
      <c r="B3" s="453"/>
      <c r="C3" s="453"/>
      <c r="D3" s="453"/>
      <c r="E3" s="453"/>
      <c r="F3" s="453"/>
      <c r="G3" s="453"/>
      <c r="H3" s="687" t="str">
        <f>'Hide_me(drop_downs)'!I1</f>
        <v>Year ended 31 July 2025</v>
      </c>
      <c r="I3" s="688"/>
      <c r="J3" s="688"/>
      <c r="K3" s="689"/>
      <c r="L3" s="687" t="str">
        <f>'Hide_me(drop_downs)'!J1</f>
        <v>Year ended 31 July 2024</v>
      </c>
      <c r="M3" s="688"/>
      <c r="N3" s="688"/>
      <c r="O3" s="689"/>
      <c r="P3" s="687" t="str">
        <f>'Hide_me(drop_downs)'!J1</f>
        <v>Year ended 31 July 2024</v>
      </c>
      <c r="Q3" s="688"/>
      <c r="R3" s="688"/>
      <c r="S3" s="689"/>
      <c r="T3" s="60"/>
      <c r="Z3" s="67"/>
      <c r="AA3" s="27"/>
      <c r="AB3" s="27"/>
      <c r="AC3" s="65"/>
      <c r="AD3" s="27"/>
      <c r="AE3" s="27" t="s">
        <v>605</v>
      </c>
    </row>
    <row r="4" spans="1:31" customFormat="1" ht="22.4" customHeight="1" thickBot="1" x14ac:dyDescent="0.4">
      <c r="A4" s="452"/>
      <c r="B4" s="453"/>
      <c r="C4" s="453"/>
      <c r="D4" s="453"/>
      <c r="E4" s="453"/>
      <c r="F4" s="453"/>
      <c r="G4" s="453"/>
      <c r="H4" s="690" t="s">
        <v>962</v>
      </c>
      <c r="I4" s="691"/>
      <c r="J4" s="691"/>
      <c r="K4" s="692"/>
      <c r="L4" s="690" t="s">
        <v>962</v>
      </c>
      <c r="M4" s="691"/>
      <c r="N4" s="691"/>
      <c r="O4" s="692"/>
      <c r="P4" s="690" t="s">
        <v>962</v>
      </c>
      <c r="Q4" s="691"/>
      <c r="R4" s="691"/>
      <c r="S4" s="692"/>
      <c r="T4" s="60"/>
      <c r="V4" s="61"/>
      <c r="W4" s="61"/>
      <c r="Z4" s="68" t="s">
        <v>610</v>
      </c>
      <c r="AA4" s="27"/>
      <c r="AB4" s="27"/>
      <c r="AC4" s="65"/>
      <c r="AD4" s="27"/>
      <c r="AE4" s="68" t="s">
        <v>230</v>
      </c>
    </row>
    <row r="5" spans="1:31" customFormat="1" ht="126" customHeight="1" thickBot="1" x14ac:dyDescent="0.4">
      <c r="A5" s="452"/>
      <c r="B5" s="453"/>
      <c r="C5" s="453"/>
      <c r="D5" s="453"/>
      <c r="E5" s="453"/>
      <c r="F5" s="453"/>
      <c r="G5" s="453"/>
      <c r="H5" s="429" t="s">
        <v>963</v>
      </c>
      <c r="I5" s="429" t="s">
        <v>964</v>
      </c>
      <c r="J5" s="429" t="s">
        <v>110</v>
      </c>
      <c r="K5" s="429" t="s">
        <v>669</v>
      </c>
      <c r="L5" s="429" t="s">
        <v>963</v>
      </c>
      <c r="M5" s="429" t="s">
        <v>964</v>
      </c>
      <c r="N5" s="429" t="s">
        <v>110</v>
      </c>
      <c r="O5" s="429" t="s">
        <v>669</v>
      </c>
      <c r="P5" s="429" t="s">
        <v>965</v>
      </c>
      <c r="Q5" s="429" t="s">
        <v>966</v>
      </c>
      <c r="R5" s="429" t="s">
        <v>110</v>
      </c>
      <c r="S5" s="429" t="s">
        <v>669</v>
      </c>
      <c r="T5" s="60"/>
      <c r="V5" s="61"/>
      <c r="W5" s="61"/>
      <c r="X5" s="143" t="str">
        <f>'Hide_me(drop_downs)'!I5</f>
        <v>Variance (2024/25 v. 2023/24 restated)</v>
      </c>
      <c r="Y5" s="60"/>
      <c r="Z5" s="60"/>
      <c r="AA5" s="60"/>
      <c r="AB5" s="60"/>
      <c r="AC5" s="279" t="str">
        <f>IF(AC1="FAIL","Head","")</f>
        <v>Head</v>
      </c>
      <c r="AD5" s="60"/>
      <c r="AE5" s="279" t="str">
        <f>IF(AE1="FAIL","Head","")</f>
        <v/>
      </c>
    </row>
    <row r="6" spans="1:31" customFormat="1" ht="15" customHeight="1" x14ac:dyDescent="0.35">
      <c r="A6" s="456"/>
      <c r="B6" s="457"/>
      <c r="C6" s="457"/>
      <c r="D6" s="457"/>
      <c r="E6" s="457"/>
      <c r="F6" s="457"/>
      <c r="G6" s="457"/>
      <c r="H6" s="458" t="s">
        <v>607</v>
      </c>
      <c r="I6" s="458" t="s">
        <v>607</v>
      </c>
      <c r="J6" s="458" t="s">
        <v>607</v>
      </c>
      <c r="K6" s="458" t="s">
        <v>607</v>
      </c>
      <c r="L6" s="458" t="s">
        <v>607</v>
      </c>
      <c r="M6" s="458" t="s">
        <v>607</v>
      </c>
      <c r="N6" s="458" t="s">
        <v>607</v>
      </c>
      <c r="O6" s="458" t="s">
        <v>607</v>
      </c>
      <c r="P6" s="458" t="s">
        <v>607</v>
      </c>
      <c r="Q6" s="458" t="s">
        <v>607</v>
      </c>
      <c r="R6" s="458" t="s">
        <v>607</v>
      </c>
      <c r="S6" s="458" t="s">
        <v>607</v>
      </c>
      <c r="T6" s="106" t="s">
        <v>230</v>
      </c>
      <c r="U6" s="61"/>
      <c r="V6" s="61"/>
      <c r="W6" s="61"/>
      <c r="X6" s="66" t="s">
        <v>967</v>
      </c>
      <c r="Y6" s="66"/>
    </row>
    <row r="7" spans="1:31" customFormat="1" ht="13" customHeight="1" x14ac:dyDescent="0.35">
      <c r="A7" s="404">
        <v>1</v>
      </c>
      <c r="B7" s="459" t="s">
        <v>968</v>
      </c>
      <c r="C7" s="460"/>
      <c r="D7" s="460"/>
      <c r="E7" s="460"/>
      <c r="F7" s="461"/>
      <c r="G7" s="461"/>
      <c r="H7" s="462"/>
      <c r="I7" s="462"/>
      <c r="J7" s="462"/>
      <c r="K7" s="462"/>
      <c r="L7" s="462"/>
      <c r="M7" s="462"/>
      <c r="N7" s="462"/>
      <c r="O7" s="462"/>
      <c r="P7" s="462"/>
      <c r="Q7" s="462"/>
      <c r="R7" s="462"/>
      <c r="S7" s="462"/>
      <c r="T7" s="45" t="s">
        <v>969</v>
      </c>
      <c r="U7" s="60" t="s">
        <v>607</v>
      </c>
      <c r="V7" s="60" t="s">
        <v>608</v>
      </c>
      <c r="W7" s="60"/>
      <c r="X7" s="8" t="s">
        <v>609</v>
      </c>
      <c r="Y7" s="8"/>
    </row>
    <row r="8" spans="1:31" customFormat="1" ht="15.75" customHeight="1" thickBot="1" x14ac:dyDescent="0.4">
      <c r="A8" s="404" t="s">
        <v>613</v>
      </c>
      <c r="B8" s="463"/>
      <c r="C8" s="464" t="str">
        <f>IF(Title_Page!B4="W","Home domicile students (Wales)",IF(Title_Page!B4="S","Home domicile students (Scotland)",IF(Title_Page!B4="N","Home domicile students (Northern Ireland)","Home domicile students")))</f>
        <v>Home domicile students (Scotland)</v>
      </c>
      <c r="D8" s="465"/>
      <c r="E8" s="465"/>
      <c r="F8" s="466"/>
      <c r="G8" s="466"/>
      <c r="H8" s="467"/>
      <c r="I8" s="467"/>
      <c r="J8" s="467"/>
      <c r="K8" s="467"/>
      <c r="L8" s="467"/>
      <c r="M8" s="467"/>
      <c r="N8" s="467"/>
      <c r="O8" s="467"/>
      <c r="P8" s="467"/>
      <c r="Q8" s="467"/>
      <c r="R8" s="467"/>
      <c r="S8" s="467"/>
      <c r="T8" s="60">
        <f>COUNTIF(T9:T71,"=ZERO")</f>
        <v>6</v>
      </c>
      <c r="U8" s="69" t="s">
        <v>230</v>
      </c>
      <c r="V8" s="69" t="s">
        <v>230</v>
      </c>
      <c r="W8" s="69"/>
      <c r="X8" s="60" t="s">
        <v>612</v>
      </c>
      <c r="Y8" s="60"/>
    </row>
    <row r="9" spans="1:31" customFormat="1" ht="12.75" customHeight="1" thickBot="1" x14ac:dyDescent="0.4">
      <c r="A9" s="404" t="s">
        <v>970</v>
      </c>
      <c r="B9" s="468"/>
      <c r="C9" s="469"/>
      <c r="D9" s="470" t="s">
        <v>971</v>
      </c>
      <c r="E9" s="469"/>
      <c r="F9" s="471"/>
      <c r="G9" s="471"/>
      <c r="H9" s="472">
        <v>13013</v>
      </c>
      <c r="I9" s="472">
        <v>0</v>
      </c>
      <c r="J9" s="472">
        <v>722</v>
      </c>
      <c r="K9" s="473">
        <f t="shared" ref="K9:K15" si="0">SUM(H9:J9)</f>
        <v>13735</v>
      </c>
      <c r="L9" s="472">
        <v>12137</v>
      </c>
      <c r="M9" s="472">
        <v>2</v>
      </c>
      <c r="N9" s="472">
        <v>2367</v>
      </c>
      <c r="O9" s="473">
        <f t="shared" ref="O9:O15" si="1">SUM(L9:N9)</f>
        <v>14506</v>
      </c>
      <c r="P9" s="474">
        <v>12137</v>
      </c>
      <c r="Q9" s="474">
        <v>2</v>
      </c>
      <c r="R9" s="474">
        <v>2367</v>
      </c>
      <c r="S9" s="473">
        <f t="shared" ref="S9:S15" si="2">SUM(P9:R9)</f>
        <v>14506</v>
      </c>
      <c r="T9" s="45"/>
      <c r="U9" s="107">
        <f t="shared" ref="U9:U16" si="3">K9-O9</f>
        <v>-771</v>
      </c>
      <c r="V9" s="43">
        <f t="shared" ref="V9:V16" si="4">IF(AND(OR(K9=0,O9&lt;&gt;0),OR(O9=0,K9&lt;&gt;0)),IF((K9+O9+U9&lt;&gt;0),IF(AND(OR(K9&gt;0,O9&lt;0),OR(O9&gt;0,K9&lt;0)),ABS(U9/MIN(ABS(O9),ABS(K9))),10),"-"),10)</f>
        <v>5.6133964324717872E-2</v>
      </c>
      <c r="W9" s="45"/>
      <c r="X9" s="90"/>
      <c r="Y9" s="91"/>
      <c r="Z9" s="27">
        <f t="shared" ref="Z9:Z15" si="5">IF(AND(U9&gt;750,V9&gt;2),1,0)</f>
        <v>0</v>
      </c>
      <c r="AA9" s="27">
        <f t="shared" ref="AA9:AA15" si="6">IF(AND(U9&lt;-750,V9&gt;2),1,0)</f>
        <v>0</v>
      </c>
      <c r="AB9" s="27">
        <f t="shared" ref="AB9:AB15" si="7">SUM(Z9:AA9)</f>
        <v>0</v>
      </c>
      <c r="AC9" s="75" t="str">
        <f t="shared" ref="AC9:AC15" si="8">IF(AB9&lt;&gt;0,$A$8&amp;A9&amp;" ("&amp;K9&amp;", "&amp;O9&amp;")"&amp;", ","")</f>
        <v/>
      </c>
    </row>
    <row r="10" spans="1:31" customFormat="1" ht="12.75" customHeight="1" thickBot="1" x14ac:dyDescent="0.4">
      <c r="A10" s="404" t="s">
        <v>972</v>
      </c>
      <c r="B10" s="468"/>
      <c r="C10" s="469"/>
      <c r="D10" s="470" t="s">
        <v>973</v>
      </c>
      <c r="E10" s="469"/>
      <c r="F10" s="471"/>
      <c r="G10" s="471"/>
      <c r="H10" s="472">
        <v>0</v>
      </c>
      <c r="I10" s="472">
        <v>0</v>
      </c>
      <c r="J10" s="472">
        <v>0</v>
      </c>
      <c r="K10" s="473">
        <f t="shared" si="0"/>
        <v>0</v>
      </c>
      <c r="L10" s="472">
        <v>0</v>
      </c>
      <c r="M10" s="472">
        <v>0</v>
      </c>
      <c r="N10" s="472">
        <v>0</v>
      </c>
      <c r="O10" s="473">
        <f t="shared" si="1"/>
        <v>0</v>
      </c>
      <c r="P10" s="474">
        <v>0</v>
      </c>
      <c r="Q10" s="474">
        <v>0</v>
      </c>
      <c r="R10" s="474">
        <v>0</v>
      </c>
      <c r="S10" s="473">
        <f t="shared" si="2"/>
        <v>0</v>
      </c>
      <c r="T10" s="45"/>
      <c r="U10" s="107">
        <f t="shared" si="3"/>
        <v>0</v>
      </c>
      <c r="V10" s="43" t="str">
        <f t="shared" si="4"/>
        <v>-</v>
      </c>
      <c r="W10" s="45"/>
      <c r="X10" s="90"/>
      <c r="Y10" s="91"/>
      <c r="Z10" s="27">
        <f t="shared" si="5"/>
        <v>0</v>
      </c>
      <c r="AA10" s="27">
        <f t="shared" si="6"/>
        <v>0</v>
      </c>
      <c r="AB10" s="27">
        <f t="shared" si="7"/>
        <v>0</v>
      </c>
      <c r="AC10" s="75" t="str">
        <f t="shared" si="8"/>
        <v/>
      </c>
    </row>
    <row r="11" spans="1:31" customFormat="1" ht="12.75" customHeight="1" thickBot="1" x14ac:dyDescent="0.4">
      <c r="A11" s="404" t="s">
        <v>974</v>
      </c>
      <c r="B11" s="468"/>
      <c r="C11" s="469"/>
      <c r="D11" s="470" t="s">
        <v>975</v>
      </c>
      <c r="E11" s="469"/>
      <c r="F11" s="471"/>
      <c r="G11" s="471"/>
      <c r="H11" s="472">
        <v>1534</v>
      </c>
      <c r="I11" s="472">
        <v>350</v>
      </c>
      <c r="J11" s="472">
        <v>3620</v>
      </c>
      <c r="K11" s="473">
        <f t="shared" si="0"/>
        <v>5504</v>
      </c>
      <c r="L11" s="472">
        <v>1301</v>
      </c>
      <c r="M11" s="472">
        <v>942</v>
      </c>
      <c r="N11" s="472">
        <v>2024</v>
      </c>
      <c r="O11" s="473">
        <f t="shared" si="1"/>
        <v>4267</v>
      </c>
      <c r="P11" s="474">
        <v>431</v>
      </c>
      <c r="Q11" s="474">
        <v>22</v>
      </c>
      <c r="R11" s="474">
        <v>3814</v>
      </c>
      <c r="S11" s="473">
        <f t="shared" si="2"/>
        <v>4267</v>
      </c>
      <c r="T11" s="45"/>
      <c r="U11" s="107">
        <f t="shared" si="3"/>
        <v>1237</v>
      </c>
      <c r="V11" s="43">
        <f t="shared" si="4"/>
        <v>0.28989922662292006</v>
      </c>
      <c r="W11" s="45"/>
      <c r="X11" s="90"/>
      <c r="Y11" s="91"/>
      <c r="Z11" s="27">
        <f t="shared" si="5"/>
        <v>0</v>
      </c>
      <c r="AA11" s="27">
        <f t="shared" si="6"/>
        <v>0</v>
      </c>
      <c r="AB11" s="27">
        <f t="shared" si="7"/>
        <v>0</v>
      </c>
      <c r="AC11" s="75" t="str">
        <f t="shared" si="8"/>
        <v/>
      </c>
    </row>
    <row r="12" spans="1:31" customFormat="1" ht="12.75" customHeight="1" thickBot="1" x14ac:dyDescent="0.4">
      <c r="A12" s="404" t="s">
        <v>976</v>
      </c>
      <c r="B12" s="468"/>
      <c r="C12" s="469"/>
      <c r="D12" s="470" t="s">
        <v>977</v>
      </c>
      <c r="E12" s="469"/>
      <c r="F12" s="471"/>
      <c r="G12" s="471"/>
      <c r="H12" s="472">
        <v>152</v>
      </c>
      <c r="I12" s="472">
        <v>10</v>
      </c>
      <c r="J12" s="472">
        <v>2493</v>
      </c>
      <c r="K12" s="473">
        <f t="shared" si="0"/>
        <v>2655</v>
      </c>
      <c r="L12" s="472">
        <v>0</v>
      </c>
      <c r="M12" s="472">
        <v>154</v>
      </c>
      <c r="N12" s="472">
        <v>2001</v>
      </c>
      <c r="O12" s="473">
        <f t="shared" si="1"/>
        <v>2155</v>
      </c>
      <c r="P12" s="474">
        <v>0</v>
      </c>
      <c r="Q12" s="474">
        <v>154</v>
      </c>
      <c r="R12" s="474">
        <v>2001</v>
      </c>
      <c r="S12" s="473">
        <f t="shared" si="2"/>
        <v>2155</v>
      </c>
      <c r="T12" s="45"/>
      <c r="U12" s="107">
        <f t="shared" si="3"/>
        <v>500</v>
      </c>
      <c r="V12" s="43">
        <f t="shared" si="4"/>
        <v>0.23201856148491878</v>
      </c>
      <c r="W12" s="45"/>
      <c r="X12" s="90"/>
      <c r="Y12" s="91"/>
      <c r="Z12" s="27">
        <f t="shared" si="5"/>
        <v>0</v>
      </c>
      <c r="AA12" s="27">
        <f t="shared" si="6"/>
        <v>0</v>
      </c>
      <c r="AB12" s="27">
        <f t="shared" si="7"/>
        <v>0</v>
      </c>
      <c r="AC12" s="75" t="str">
        <f t="shared" si="8"/>
        <v/>
      </c>
    </row>
    <row r="13" spans="1:31" customFormat="1" ht="12.75" customHeight="1" thickBot="1" x14ac:dyDescent="0.4">
      <c r="A13" s="404" t="s">
        <v>978</v>
      </c>
      <c r="B13" s="468"/>
      <c r="C13" s="469"/>
      <c r="D13" s="470" t="s">
        <v>979</v>
      </c>
      <c r="E13" s="469"/>
      <c r="F13" s="471"/>
      <c r="G13" s="471"/>
      <c r="H13" s="472">
        <v>34</v>
      </c>
      <c r="I13" s="472">
        <v>5</v>
      </c>
      <c r="J13" s="472">
        <v>37</v>
      </c>
      <c r="K13" s="473">
        <f t="shared" si="0"/>
        <v>76</v>
      </c>
      <c r="L13" s="472">
        <v>6</v>
      </c>
      <c r="M13" s="472">
        <v>12</v>
      </c>
      <c r="N13" s="472">
        <v>103</v>
      </c>
      <c r="O13" s="473">
        <f t="shared" si="1"/>
        <v>121</v>
      </c>
      <c r="P13" s="474">
        <v>6</v>
      </c>
      <c r="Q13" s="474">
        <v>12</v>
      </c>
      <c r="R13" s="474">
        <v>103</v>
      </c>
      <c r="S13" s="473">
        <f t="shared" si="2"/>
        <v>121</v>
      </c>
      <c r="T13" s="45"/>
      <c r="U13" s="107">
        <f t="shared" si="3"/>
        <v>-45</v>
      </c>
      <c r="V13" s="43">
        <f t="shared" si="4"/>
        <v>0.59210526315789469</v>
      </c>
      <c r="W13" s="45"/>
      <c r="X13" s="90"/>
      <c r="Y13" s="91"/>
      <c r="Z13" s="27">
        <f t="shared" si="5"/>
        <v>0</v>
      </c>
      <c r="AA13" s="27">
        <f t="shared" si="6"/>
        <v>0</v>
      </c>
      <c r="AB13" s="27">
        <f t="shared" si="7"/>
        <v>0</v>
      </c>
      <c r="AC13" s="75" t="str">
        <f t="shared" si="8"/>
        <v/>
      </c>
    </row>
    <row r="14" spans="1:31" customFormat="1" ht="12.75" customHeight="1" thickBot="1" x14ac:dyDescent="0.4">
      <c r="A14" s="404" t="s">
        <v>980</v>
      </c>
      <c r="B14" s="468"/>
      <c r="C14" s="469"/>
      <c r="D14" s="470" t="s">
        <v>981</v>
      </c>
      <c r="E14" s="469"/>
      <c r="F14" s="471"/>
      <c r="G14" s="471"/>
      <c r="H14" s="472">
        <v>174</v>
      </c>
      <c r="I14" s="472">
        <v>98</v>
      </c>
      <c r="J14" s="472">
        <v>3461</v>
      </c>
      <c r="K14" s="473">
        <f t="shared" si="0"/>
        <v>3733</v>
      </c>
      <c r="L14" s="472">
        <v>225</v>
      </c>
      <c r="M14" s="472">
        <v>28</v>
      </c>
      <c r="N14" s="472">
        <v>5085</v>
      </c>
      <c r="O14" s="473">
        <f t="shared" si="1"/>
        <v>5338</v>
      </c>
      <c r="P14" s="474">
        <v>44</v>
      </c>
      <c r="Q14" s="474">
        <v>942</v>
      </c>
      <c r="R14" s="474">
        <v>4352</v>
      </c>
      <c r="S14" s="473">
        <f t="shared" si="2"/>
        <v>5338</v>
      </c>
      <c r="T14" s="45"/>
      <c r="U14" s="107">
        <f t="shared" si="3"/>
        <v>-1605</v>
      </c>
      <c r="V14" s="43">
        <f t="shared" si="4"/>
        <v>0.42994910259844626</v>
      </c>
      <c r="W14" s="45"/>
      <c r="X14" s="90"/>
      <c r="Y14" s="91"/>
      <c r="Z14" s="27">
        <f t="shared" si="5"/>
        <v>0</v>
      </c>
      <c r="AA14" s="27">
        <f t="shared" si="6"/>
        <v>0</v>
      </c>
      <c r="AB14" s="27">
        <f t="shared" si="7"/>
        <v>0</v>
      </c>
      <c r="AC14" s="75" t="str">
        <f t="shared" si="8"/>
        <v/>
      </c>
    </row>
    <row r="15" spans="1:31" customFormat="1" ht="12.75" customHeight="1" thickBot="1" x14ac:dyDescent="0.4">
      <c r="A15" s="404" t="s">
        <v>982</v>
      </c>
      <c r="B15" s="468"/>
      <c r="C15" s="469"/>
      <c r="D15" s="470" t="s">
        <v>983</v>
      </c>
      <c r="E15" s="469"/>
      <c r="F15" s="471"/>
      <c r="G15" s="471"/>
      <c r="H15" s="472">
        <v>11</v>
      </c>
      <c r="I15" s="472">
        <v>2</v>
      </c>
      <c r="J15" s="472">
        <v>547</v>
      </c>
      <c r="K15" s="473">
        <f t="shared" si="0"/>
        <v>560</v>
      </c>
      <c r="L15" s="472">
        <v>6</v>
      </c>
      <c r="M15" s="472">
        <v>2</v>
      </c>
      <c r="N15" s="472">
        <v>605</v>
      </c>
      <c r="O15" s="473">
        <f t="shared" si="1"/>
        <v>613</v>
      </c>
      <c r="P15" s="474">
        <v>6</v>
      </c>
      <c r="Q15" s="474">
        <v>2</v>
      </c>
      <c r="R15" s="474">
        <v>605</v>
      </c>
      <c r="S15" s="473">
        <f t="shared" si="2"/>
        <v>613</v>
      </c>
      <c r="T15" s="45"/>
      <c r="U15" s="107">
        <f t="shared" si="3"/>
        <v>-53</v>
      </c>
      <c r="V15" s="43">
        <f t="shared" si="4"/>
        <v>9.464285714285714E-2</v>
      </c>
      <c r="W15" s="45"/>
      <c r="X15" s="90"/>
      <c r="Y15" s="91"/>
      <c r="Z15" s="27">
        <f t="shared" si="5"/>
        <v>0</v>
      </c>
      <c r="AA15" s="27">
        <f t="shared" si="6"/>
        <v>0</v>
      </c>
      <c r="AB15" s="27">
        <f t="shared" si="7"/>
        <v>0</v>
      </c>
      <c r="AC15" s="75" t="str">
        <f t="shared" si="8"/>
        <v/>
      </c>
    </row>
    <row r="16" spans="1:31" customFormat="1" ht="12.75" customHeight="1" x14ac:dyDescent="0.35">
      <c r="A16" s="404" t="s">
        <v>984</v>
      </c>
      <c r="B16" s="475"/>
      <c r="C16" s="476" t="s">
        <v>985</v>
      </c>
      <c r="D16" s="477"/>
      <c r="E16" s="477"/>
      <c r="F16" s="478"/>
      <c r="G16" s="478"/>
      <c r="H16" s="473">
        <f t="shared" ref="H16:S16" si="9">SUM(H9:H15)</f>
        <v>14918</v>
      </c>
      <c r="I16" s="473">
        <f t="shared" si="9"/>
        <v>465</v>
      </c>
      <c r="J16" s="473">
        <f t="shared" si="9"/>
        <v>10880</v>
      </c>
      <c r="K16" s="473">
        <f t="shared" si="9"/>
        <v>26263</v>
      </c>
      <c r="L16" s="473">
        <f t="shared" si="9"/>
        <v>13675</v>
      </c>
      <c r="M16" s="473">
        <f t="shared" si="9"/>
        <v>1140</v>
      </c>
      <c r="N16" s="473">
        <f t="shared" si="9"/>
        <v>12185</v>
      </c>
      <c r="O16" s="473">
        <f t="shared" si="9"/>
        <v>27000</v>
      </c>
      <c r="P16" s="473">
        <f t="shared" si="9"/>
        <v>12624</v>
      </c>
      <c r="Q16" s="473">
        <f t="shared" si="9"/>
        <v>1134</v>
      </c>
      <c r="R16" s="473">
        <f t="shared" si="9"/>
        <v>13242</v>
      </c>
      <c r="S16" s="473">
        <f t="shared" si="9"/>
        <v>27000</v>
      </c>
      <c r="T16" s="45"/>
      <c r="U16" s="83">
        <f t="shared" si="3"/>
        <v>-737</v>
      </c>
      <c r="V16" s="45">
        <f t="shared" si="4"/>
        <v>2.8062292959677111E-2</v>
      </c>
      <c r="W16" s="45"/>
      <c r="X16" s="108"/>
      <c r="Y16" s="91"/>
    </row>
    <row r="17" spans="1:29" customFormat="1" ht="12.75" customHeight="1" thickBot="1" x14ac:dyDescent="0.4">
      <c r="A17" s="404" t="s">
        <v>615</v>
      </c>
      <c r="B17" s="463"/>
      <c r="C17" s="464" t="str">
        <f>IF(Title_Page!B4="W","Rest of UK domicile students (England, Northern Ireland, Scotland)",IF(Title_Page!B4="S","Rest of UK domicile students (England, Northern Ireland, Wales)",IF(Title_Page!B4="N","Rest of UK domicile students (England, Scotland, Wales)","Rest of UK domicile students")))</f>
        <v>Rest of UK domicile students (England, Northern Ireland, Wales)</v>
      </c>
      <c r="D17" s="465"/>
      <c r="E17" s="465"/>
      <c r="F17" s="466"/>
      <c r="G17" s="466"/>
      <c r="H17" s="479"/>
      <c r="I17" s="479"/>
      <c r="J17" s="479"/>
      <c r="K17" s="479"/>
      <c r="L17" s="479"/>
      <c r="M17" s="479"/>
      <c r="N17" s="479"/>
      <c r="O17" s="479"/>
      <c r="P17" s="479"/>
      <c r="Q17" s="479"/>
      <c r="R17" s="479"/>
      <c r="S17" s="479"/>
      <c r="T17" s="45"/>
    </row>
    <row r="18" spans="1:29" customFormat="1" ht="12.75" customHeight="1" thickBot="1" x14ac:dyDescent="0.4">
      <c r="A18" s="404" t="s">
        <v>970</v>
      </c>
      <c r="B18" s="468"/>
      <c r="C18" s="469"/>
      <c r="D18" s="470" t="s">
        <v>971</v>
      </c>
      <c r="E18" s="469"/>
      <c r="F18" s="471"/>
      <c r="G18" s="471"/>
      <c r="H18" s="472">
        <v>50970</v>
      </c>
      <c r="I18" s="472">
        <v>1129</v>
      </c>
      <c r="J18" s="472">
        <v>20616</v>
      </c>
      <c r="K18" s="473">
        <f t="shared" ref="K18:K24" si="10">SUM(H18:J18)</f>
        <v>72715</v>
      </c>
      <c r="L18" s="472">
        <v>53459</v>
      </c>
      <c r="M18" s="472">
        <v>1002</v>
      </c>
      <c r="N18" s="472">
        <v>14844</v>
      </c>
      <c r="O18" s="473">
        <f t="shared" ref="O18:O24" si="11">SUM(L18:N18)</f>
        <v>69305</v>
      </c>
      <c r="P18" s="474">
        <v>16260</v>
      </c>
      <c r="Q18" s="474">
        <v>1002</v>
      </c>
      <c r="R18" s="474">
        <v>52043</v>
      </c>
      <c r="S18" s="473">
        <f t="shared" ref="S18:S24" si="12">SUM(P18:R18)</f>
        <v>69305</v>
      </c>
      <c r="T18" s="45"/>
      <c r="U18" s="107">
        <f t="shared" ref="U18:U25" si="13">K18-O18</f>
        <v>3410</v>
      </c>
      <c r="V18" s="43">
        <f t="shared" ref="V18:V25" si="14">IF(AND(OR(K18=0,O18&lt;&gt;0),OR(O18=0,K18&lt;&gt;0)),IF((K18+O18+U18&lt;&gt;0),IF(AND(OR(K18&gt;0,O18&lt;0),OR(O18&gt;0,K18&lt;0)),ABS(U18/MIN(ABS(O18),ABS(K18))),10),"-"),10)</f>
        <v>4.9202799220835439E-2</v>
      </c>
      <c r="W18" s="45"/>
      <c r="X18" s="90"/>
      <c r="Y18" s="91"/>
      <c r="Z18" s="27">
        <f t="shared" ref="Z18:Z24" si="15">IF(AND(U18&gt;750,V18&gt;2),1,0)</f>
        <v>0</v>
      </c>
      <c r="AA18" s="27">
        <f t="shared" ref="AA18:AA24" si="16">IF(AND(U18&lt;-750,V18&gt;2),1,0)</f>
        <v>0</v>
      </c>
      <c r="AB18" s="27">
        <f t="shared" ref="AB18:AB24" si="17">SUM(Z18:AA18)</f>
        <v>0</v>
      </c>
      <c r="AC18" s="75" t="str">
        <f t="shared" ref="AC18:AC24" si="18">IF(AB18&lt;&gt;0,$A$17&amp;A18&amp;" ("&amp;K18&amp;", "&amp;O18&amp;")"&amp;", ","")</f>
        <v/>
      </c>
    </row>
    <row r="19" spans="1:29" customFormat="1" ht="12.75" customHeight="1" thickBot="1" x14ac:dyDescent="0.4">
      <c r="A19" s="404" t="s">
        <v>972</v>
      </c>
      <c r="B19" s="468"/>
      <c r="C19" s="469"/>
      <c r="D19" s="470" t="s">
        <v>973</v>
      </c>
      <c r="E19" s="469"/>
      <c r="F19" s="471"/>
      <c r="G19" s="471"/>
      <c r="H19" s="472">
        <v>0</v>
      </c>
      <c r="I19" s="472">
        <v>0</v>
      </c>
      <c r="J19" s="472">
        <v>0</v>
      </c>
      <c r="K19" s="473">
        <f t="shared" si="10"/>
        <v>0</v>
      </c>
      <c r="L19" s="472">
        <v>0</v>
      </c>
      <c r="M19" s="472">
        <v>0</v>
      </c>
      <c r="N19" s="472">
        <v>0</v>
      </c>
      <c r="O19" s="473">
        <f t="shared" si="11"/>
        <v>0</v>
      </c>
      <c r="P19" s="474">
        <v>0</v>
      </c>
      <c r="Q19" s="474">
        <v>0</v>
      </c>
      <c r="R19" s="474">
        <v>0</v>
      </c>
      <c r="S19" s="473">
        <f t="shared" si="12"/>
        <v>0</v>
      </c>
      <c r="T19" s="45"/>
      <c r="U19" s="107">
        <f t="shared" si="13"/>
        <v>0</v>
      </c>
      <c r="V19" s="43" t="str">
        <f t="shared" si="14"/>
        <v>-</v>
      </c>
      <c r="W19" s="45"/>
      <c r="X19" s="90"/>
      <c r="Y19" s="91"/>
      <c r="Z19" s="27">
        <f t="shared" si="15"/>
        <v>0</v>
      </c>
      <c r="AA19" s="27">
        <f t="shared" si="16"/>
        <v>0</v>
      </c>
      <c r="AB19" s="27">
        <f t="shared" si="17"/>
        <v>0</v>
      </c>
      <c r="AC19" s="75" t="str">
        <f t="shared" si="18"/>
        <v/>
      </c>
    </row>
    <row r="20" spans="1:29" customFormat="1" ht="12.75" customHeight="1" thickBot="1" x14ac:dyDescent="0.4">
      <c r="A20" s="404" t="s">
        <v>974</v>
      </c>
      <c r="B20" s="468"/>
      <c r="C20" s="469"/>
      <c r="D20" s="470" t="s">
        <v>975</v>
      </c>
      <c r="E20" s="469"/>
      <c r="F20" s="471"/>
      <c r="G20" s="471"/>
      <c r="H20" s="472">
        <v>487</v>
      </c>
      <c r="I20" s="472">
        <v>0</v>
      </c>
      <c r="J20" s="472">
        <v>4623</v>
      </c>
      <c r="K20" s="473">
        <f t="shared" si="10"/>
        <v>5110</v>
      </c>
      <c r="L20" s="472">
        <v>421</v>
      </c>
      <c r="M20" s="472">
        <v>301</v>
      </c>
      <c r="N20" s="472">
        <v>3750</v>
      </c>
      <c r="O20" s="473">
        <f t="shared" si="11"/>
        <v>4472</v>
      </c>
      <c r="P20" s="474">
        <v>7</v>
      </c>
      <c r="Q20" s="474">
        <v>756</v>
      </c>
      <c r="R20" s="474">
        <v>3709</v>
      </c>
      <c r="S20" s="473">
        <f t="shared" si="12"/>
        <v>4472</v>
      </c>
      <c r="T20" s="45"/>
      <c r="U20" s="107">
        <f t="shared" si="13"/>
        <v>638</v>
      </c>
      <c r="V20" s="43">
        <f t="shared" si="14"/>
        <v>0.14266547406082289</v>
      </c>
      <c r="W20" s="45"/>
      <c r="X20" s="90"/>
      <c r="Y20" s="91"/>
      <c r="Z20" s="27">
        <f t="shared" si="15"/>
        <v>0</v>
      </c>
      <c r="AA20" s="27">
        <f t="shared" si="16"/>
        <v>0</v>
      </c>
      <c r="AB20" s="27">
        <f t="shared" si="17"/>
        <v>0</v>
      </c>
      <c r="AC20" s="75" t="str">
        <f t="shared" si="18"/>
        <v/>
      </c>
    </row>
    <row r="21" spans="1:29" customFormat="1" ht="12.75" customHeight="1" thickBot="1" x14ac:dyDescent="0.4">
      <c r="A21" s="404" t="s">
        <v>976</v>
      </c>
      <c r="B21" s="468"/>
      <c r="C21" s="469"/>
      <c r="D21" s="470" t="s">
        <v>977</v>
      </c>
      <c r="E21" s="469"/>
      <c r="F21" s="471"/>
      <c r="G21" s="471"/>
      <c r="H21" s="472">
        <v>7</v>
      </c>
      <c r="I21" s="472">
        <v>0</v>
      </c>
      <c r="J21" s="472">
        <v>842</v>
      </c>
      <c r="K21" s="473">
        <f t="shared" si="10"/>
        <v>849</v>
      </c>
      <c r="L21" s="472">
        <v>4</v>
      </c>
      <c r="M21" s="472">
        <v>0</v>
      </c>
      <c r="N21" s="472">
        <v>1786</v>
      </c>
      <c r="O21" s="473">
        <f t="shared" si="11"/>
        <v>1790</v>
      </c>
      <c r="P21" s="474">
        <v>225</v>
      </c>
      <c r="Q21" s="474">
        <v>0</v>
      </c>
      <c r="R21" s="474">
        <v>1565</v>
      </c>
      <c r="S21" s="473">
        <f t="shared" si="12"/>
        <v>1790</v>
      </c>
      <c r="T21" s="45"/>
      <c r="U21" s="107">
        <f t="shared" si="13"/>
        <v>-941</v>
      </c>
      <c r="V21" s="43">
        <f t="shared" si="14"/>
        <v>1.1083627797408717</v>
      </c>
      <c r="W21" s="45"/>
      <c r="X21" s="90"/>
      <c r="Y21" s="91"/>
      <c r="Z21" s="27">
        <f t="shared" si="15"/>
        <v>0</v>
      </c>
      <c r="AA21" s="27">
        <f t="shared" si="16"/>
        <v>0</v>
      </c>
      <c r="AB21" s="27">
        <f t="shared" si="17"/>
        <v>0</v>
      </c>
      <c r="AC21" s="75" t="str">
        <f t="shared" si="18"/>
        <v/>
      </c>
    </row>
    <row r="22" spans="1:29" customFormat="1" ht="12.75" customHeight="1" thickBot="1" x14ac:dyDescent="0.4">
      <c r="A22" s="404" t="s">
        <v>978</v>
      </c>
      <c r="B22" s="468"/>
      <c r="C22" s="469"/>
      <c r="D22" s="470" t="s">
        <v>979</v>
      </c>
      <c r="E22" s="469"/>
      <c r="F22" s="471"/>
      <c r="G22" s="471"/>
      <c r="H22" s="472">
        <v>0</v>
      </c>
      <c r="I22" s="472">
        <v>0</v>
      </c>
      <c r="J22" s="472">
        <v>-5</v>
      </c>
      <c r="K22" s="473">
        <f t="shared" si="10"/>
        <v>-5</v>
      </c>
      <c r="L22" s="472">
        <v>0</v>
      </c>
      <c r="M22" s="472">
        <v>0</v>
      </c>
      <c r="N22" s="472">
        <v>-9</v>
      </c>
      <c r="O22" s="473">
        <f t="shared" si="11"/>
        <v>-9</v>
      </c>
      <c r="P22" s="474">
        <v>0</v>
      </c>
      <c r="Q22" s="474">
        <v>0</v>
      </c>
      <c r="R22" s="474">
        <v>-9</v>
      </c>
      <c r="S22" s="473">
        <f t="shared" si="12"/>
        <v>-9</v>
      </c>
      <c r="T22" s="45"/>
      <c r="U22" s="107">
        <f t="shared" si="13"/>
        <v>4</v>
      </c>
      <c r="V22" s="43">
        <f t="shared" si="14"/>
        <v>0.8</v>
      </c>
      <c r="W22" s="45"/>
      <c r="X22" s="90"/>
      <c r="Y22" s="91"/>
      <c r="Z22" s="27">
        <f t="shared" si="15"/>
        <v>0</v>
      </c>
      <c r="AA22" s="27">
        <f t="shared" si="16"/>
        <v>0</v>
      </c>
      <c r="AB22" s="27">
        <f t="shared" si="17"/>
        <v>0</v>
      </c>
      <c r="AC22" s="75" t="str">
        <f t="shared" si="18"/>
        <v/>
      </c>
    </row>
    <row r="23" spans="1:29" customFormat="1" ht="12.75" customHeight="1" thickBot="1" x14ac:dyDescent="0.4">
      <c r="A23" s="404" t="s">
        <v>980</v>
      </c>
      <c r="B23" s="468"/>
      <c r="C23" s="469"/>
      <c r="D23" s="470" t="s">
        <v>981</v>
      </c>
      <c r="E23" s="469"/>
      <c r="F23" s="471"/>
      <c r="G23" s="471"/>
      <c r="H23" s="472">
        <v>26</v>
      </c>
      <c r="I23" s="472">
        <v>272</v>
      </c>
      <c r="J23" s="472">
        <v>4607</v>
      </c>
      <c r="K23" s="473">
        <f t="shared" si="10"/>
        <v>4905</v>
      </c>
      <c r="L23" s="472">
        <v>10</v>
      </c>
      <c r="M23" s="472">
        <v>28</v>
      </c>
      <c r="N23" s="472">
        <v>5864</v>
      </c>
      <c r="O23" s="473">
        <f t="shared" si="11"/>
        <v>5902</v>
      </c>
      <c r="P23" s="474">
        <v>284</v>
      </c>
      <c r="Q23" s="474">
        <v>28</v>
      </c>
      <c r="R23" s="474">
        <v>5590</v>
      </c>
      <c r="S23" s="473">
        <f t="shared" si="12"/>
        <v>5902</v>
      </c>
      <c r="T23" s="45"/>
      <c r="U23" s="107">
        <f t="shared" si="13"/>
        <v>-997</v>
      </c>
      <c r="V23" s="43">
        <f t="shared" si="14"/>
        <v>0.20326197757390418</v>
      </c>
      <c r="W23" s="45"/>
      <c r="X23" s="90"/>
      <c r="Y23" s="91"/>
      <c r="Z23" s="27">
        <f t="shared" si="15"/>
        <v>0</v>
      </c>
      <c r="AA23" s="27">
        <f t="shared" si="16"/>
        <v>0</v>
      </c>
      <c r="AB23" s="27">
        <f t="shared" si="17"/>
        <v>0</v>
      </c>
      <c r="AC23" s="75" t="str">
        <f t="shared" si="18"/>
        <v/>
      </c>
    </row>
    <row r="24" spans="1:29" customFormat="1" ht="12.75" customHeight="1" thickBot="1" x14ac:dyDescent="0.4">
      <c r="A24" s="404" t="s">
        <v>982</v>
      </c>
      <c r="B24" s="468"/>
      <c r="C24" s="469"/>
      <c r="D24" s="470" t="s">
        <v>983</v>
      </c>
      <c r="E24" s="469"/>
      <c r="F24" s="471"/>
      <c r="G24" s="471"/>
      <c r="H24" s="472">
        <v>0</v>
      </c>
      <c r="I24" s="472">
        <v>0</v>
      </c>
      <c r="J24" s="472">
        <v>325</v>
      </c>
      <c r="K24" s="473">
        <f t="shared" si="10"/>
        <v>325</v>
      </c>
      <c r="L24" s="472">
        <v>0</v>
      </c>
      <c r="M24" s="472">
        <v>0</v>
      </c>
      <c r="N24" s="472">
        <v>440</v>
      </c>
      <c r="O24" s="473">
        <f t="shared" si="11"/>
        <v>440</v>
      </c>
      <c r="P24" s="474">
        <v>0</v>
      </c>
      <c r="Q24" s="474">
        <v>0</v>
      </c>
      <c r="R24" s="474">
        <v>440</v>
      </c>
      <c r="S24" s="473">
        <f t="shared" si="12"/>
        <v>440</v>
      </c>
      <c r="T24" s="45"/>
      <c r="U24" s="107">
        <f t="shared" si="13"/>
        <v>-115</v>
      </c>
      <c r="V24" s="43">
        <f t="shared" si="14"/>
        <v>0.35384615384615387</v>
      </c>
      <c r="W24" s="45"/>
      <c r="X24" s="90"/>
      <c r="Y24" s="91"/>
      <c r="Z24" s="27">
        <f t="shared" si="15"/>
        <v>0</v>
      </c>
      <c r="AA24" s="27">
        <f t="shared" si="16"/>
        <v>0</v>
      </c>
      <c r="AB24" s="27">
        <f t="shared" si="17"/>
        <v>0</v>
      </c>
      <c r="AC24" s="75" t="str">
        <f t="shared" si="18"/>
        <v/>
      </c>
    </row>
    <row r="25" spans="1:29" customFormat="1" ht="12.75" customHeight="1" x14ac:dyDescent="0.35">
      <c r="A25" s="404" t="s">
        <v>984</v>
      </c>
      <c r="B25" s="475"/>
      <c r="C25" s="476" t="s">
        <v>986</v>
      </c>
      <c r="D25" s="477"/>
      <c r="E25" s="477"/>
      <c r="F25" s="478"/>
      <c r="G25" s="478"/>
      <c r="H25" s="473">
        <f t="shared" ref="H25:S25" si="19">SUM(H18:H24)</f>
        <v>51490</v>
      </c>
      <c r="I25" s="473">
        <f t="shared" si="19"/>
        <v>1401</v>
      </c>
      <c r="J25" s="473">
        <f t="shared" si="19"/>
        <v>31008</v>
      </c>
      <c r="K25" s="473">
        <f t="shared" si="19"/>
        <v>83899</v>
      </c>
      <c r="L25" s="473">
        <f t="shared" si="19"/>
        <v>53894</v>
      </c>
      <c r="M25" s="473">
        <f t="shared" si="19"/>
        <v>1331</v>
      </c>
      <c r="N25" s="473">
        <f t="shared" si="19"/>
        <v>26675</v>
      </c>
      <c r="O25" s="473">
        <f t="shared" si="19"/>
        <v>81900</v>
      </c>
      <c r="P25" s="473">
        <f t="shared" si="19"/>
        <v>16776</v>
      </c>
      <c r="Q25" s="473">
        <f t="shared" si="19"/>
        <v>1786</v>
      </c>
      <c r="R25" s="473">
        <f t="shared" si="19"/>
        <v>63338</v>
      </c>
      <c r="S25" s="473">
        <f t="shared" si="19"/>
        <v>81900</v>
      </c>
      <c r="T25" s="45"/>
      <c r="U25" s="83">
        <f t="shared" si="13"/>
        <v>1999</v>
      </c>
      <c r="V25" s="45">
        <f t="shared" si="14"/>
        <v>2.4407814407814407E-2</v>
      </c>
      <c r="W25" s="45"/>
      <c r="X25" s="108"/>
      <c r="Y25" s="91"/>
    </row>
    <row r="26" spans="1:29" customFormat="1" ht="12.75" customHeight="1" x14ac:dyDescent="0.35">
      <c r="A26" s="404" t="s">
        <v>617</v>
      </c>
      <c r="B26" s="463"/>
      <c r="C26" s="464" t="s">
        <v>987</v>
      </c>
      <c r="D26" s="465"/>
      <c r="E26" s="465"/>
      <c r="F26" s="466"/>
      <c r="G26" s="466"/>
      <c r="H26" s="479"/>
      <c r="I26" s="479"/>
      <c r="J26" s="479"/>
      <c r="K26" s="479"/>
      <c r="L26" s="479"/>
      <c r="M26" s="479"/>
      <c r="N26" s="479"/>
      <c r="O26" s="479"/>
      <c r="P26" s="479"/>
      <c r="Q26" s="479"/>
      <c r="R26" s="479"/>
      <c r="S26" s="479"/>
      <c r="T26" s="45"/>
      <c r="U26" s="78"/>
    </row>
    <row r="27" spans="1:29" customFormat="1" ht="12.75" customHeight="1" x14ac:dyDescent="0.35">
      <c r="A27" s="404" t="s">
        <v>970</v>
      </c>
      <c r="B27" s="468"/>
      <c r="C27" s="469"/>
      <c r="D27" s="470" t="s">
        <v>971</v>
      </c>
      <c r="E27" s="469"/>
      <c r="F27" s="471"/>
      <c r="G27" s="471"/>
      <c r="H27" s="480">
        <f t="shared" ref="H27:J33" si="20">SUM(H9+H18)</f>
        <v>63983</v>
      </c>
      <c r="I27" s="480">
        <f t="shared" si="20"/>
        <v>1129</v>
      </c>
      <c r="J27" s="480">
        <f t="shared" si="20"/>
        <v>21338</v>
      </c>
      <c r="K27" s="310">
        <f t="shared" ref="K27:K33" si="21">SUM(H27:J27)</f>
        <v>86450</v>
      </c>
      <c r="L27" s="480">
        <f t="shared" ref="L27:N33" si="22">SUM(L9+L18)</f>
        <v>65596</v>
      </c>
      <c r="M27" s="480">
        <f t="shared" si="22"/>
        <v>1004</v>
      </c>
      <c r="N27" s="480">
        <f t="shared" si="22"/>
        <v>17211</v>
      </c>
      <c r="O27" s="310">
        <f t="shared" ref="O27:O33" si="23">SUM(L27:N27)</f>
        <v>83811</v>
      </c>
      <c r="P27" s="473">
        <f t="shared" ref="P27:R33" si="24">SUM(P9+P18)</f>
        <v>28397</v>
      </c>
      <c r="Q27" s="473">
        <f t="shared" si="24"/>
        <v>1004</v>
      </c>
      <c r="R27" s="473">
        <f t="shared" si="24"/>
        <v>54410</v>
      </c>
      <c r="S27" s="310">
        <f t="shared" ref="S27:S33" si="25">SUM(P27:R27)</f>
        <v>83811</v>
      </c>
      <c r="T27" s="481" t="str">
        <f t="shared" ref="T27:T33" si="26">IF(K27=0,"zero",RIGHT(K27,1))</f>
        <v>0</v>
      </c>
      <c r="U27" s="83">
        <f t="shared" ref="U27:U34" si="27">K27-O27</f>
        <v>2639</v>
      </c>
      <c r="V27" s="45">
        <f t="shared" ref="V27:V34" si="28">IF(AND(OR(K27=0,O27&lt;&gt;0),OR(O27=0,K27&lt;&gt;0)),IF((K27+O27+U27&lt;&gt;0),IF(AND(OR(K27&gt;0,O27&lt;0),OR(O27&gt;0,K27&lt;0)),ABS(U27/MIN(ABS(O27),ABS(K27))),10),"-"),10)</f>
        <v>3.1487513572204126E-2</v>
      </c>
      <c r="W27" s="45"/>
      <c r="X27" s="91"/>
      <c r="Y27" s="91"/>
    </row>
    <row r="28" spans="1:29" customFormat="1" ht="12.75" customHeight="1" x14ac:dyDescent="0.35">
      <c r="A28" s="404" t="s">
        <v>972</v>
      </c>
      <c r="B28" s="468"/>
      <c r="C28" s="469"/>
      <c r="D28" s="470" t="s">
        <v>973</v>
      </c>
      <c r="E28" s="469"/>
      <c r="F28" s="471"/>
      <c r="G28" s="471"/>
      <c r="H28" s="480">
        <f t="shared" si="20"/>
        <v>0</v>
      </c>
      <c r="I28" s="480">
        <f t="shared" si="20"/>
        <v>0</v>
      </c>
      <c r="J28" s="480">
        <f t="shared" si="20"/>
        <v>0</v>
      </c>
      <c r="K28" s="310">
        <f t="shared" si="21"/>
        <v>0</v>
      </c>
      <c r="L28" s="480">
        <f t="shared" si="22"/>
        <v>0</v>
      </c>
      <c r="M28" s="480">
        <f t="shared" si="22"/>
        <v>0</v>
      </c>
      <c r="N28" s="480">
        <f t="shared" si="22"/>
        <v>0</v>
      </c>
      <c r="O28" s="310">
        <f t="shared" si="23"/>
        <v>0</v>
      </c>
      <c r="P28" s="473">
        <f t="shared" si="24"/>
        <v>0</v>
      </c>
      <c r="Q28" s="473">
        <f t="shared" si="24"/>
        <v>0</v>
      </c>
      <c r="R28" s="473">
        <f t="shared" si="24"/>
        <v>0</v>
      </c>
      <c r="S28" s="310">
        <f t="shared" si="25"/>
        <v>0</v>
      </c>
      <c r="T28" s="481" t="str">
        <f t="shared" si="26"/>
        <v>zero</v>
      </c>
      <c r="U28" s="83">
        <f t="shared" si="27"/>
        <v>0</v>
      </c>
      <c r="V28" s="45" t="str">
        <f t="shared" si="28"/>
        <v>-</v>
      </c>
      <c r="W28" s="45"/>
      <c r="X28" s="91"/>
      <c r="Y28" s="91"/>
    </row>
    <row r="29" spans="1:29" customFormat="1" ht="12.75" customHeight="1" x14ac:dyDescent="0.35">
      <c r="A29" s="404" t="s">
        <v>974</v>
      </c>
      <c r="B29" s="468"/>
      <c r="C29" s="469"/>
      <c r="D29" s="470" t="s">
        <v>975</v>
      </c>
      <c r="E29" s="469"/>
      <c r="F29" s="471"/>
      <c r="G29" s="471"/>
      <c r="H29" s="480">
        <f t="shared" si="20"/>
        <v>2021</v>
      </c>
      <c r="I29" s="480">
        <f t="shared" si="20"/>
        <v>350</v>
      </c>
      <c r="J29" s="480">
        <f t="shared" si="20"/>
        <v>8243</v>
      </c>
      <c r="K29" s="310">
        <f t="shared" si="21"/>
        <v>10614</v>
      </c>
      <c r="L29" s="480">
        <f t="shared" si="22"/>
        <v>1722</v>
      </c>
      <c r="M29" s="480">
        <f t="shared" si="22"/>
        <v>1243</v>
      </c>
      <c r="N29" s="480">
        <f t="shared" si="22"/>
        <v>5774</v>
      </c>
      <c r="O29" s="310">
        <f t="shared" si="23"/>
        <v>8739</v>
      </c>
      <c r="P29" s="473">
        <f t="shared" si="24"/>
        <v>438</v>
      </c>
      <c r="Q29" s="473">
        <f t="shared" si="24"/>
        <v>778</v>
      </c>
      <c r="R29" s="473">
        <f t="shared" si="24"/>
        <v>7523</v>
      </c>
      <c r="S29" s="310">
        <f t="shared" si="25"/>
        <v>8739</v>
      </c>
      <c r="T29" s="481" t="str">
        <f t="shared" si="26"/>
        <v>4</v>
      </c>
      <c r="U29" s="83">
        <f t="shared" si="27"/>
        <v>1875</v>
      </c>
      <c r="V29" s="45">
        <f t="shared" si="28"/>
        <v>0.21455544112598696</v>
      </c>
      <c r="W29" s="45"/>
      <c r="X29" s="91"/>
      <c r="Y29" s="91"/>
    </row>
    <row r="30" spans="1:29" customFormat="1" ht="12.75" customHeight="1" x14ac:dyDescent="0.35">
      <c r="A30" s="404" t="s">
        <v>976</v>
      </c>
      <c r="B30" s="468"/>
      <c r="C30" s="469"/>
      <c r="D30" s="470" t="s">
        <v>977</v>
      </c>
      <c r="E30" s="469"/>
      <c r="F30" s="471"/>
      <c r="G30" s="471"/>
      <c r="H30" s="480">
        <f t="shared" si="20"/>
        <v>159</v>
      </c>
      <c r="I30" s="480">
        <f t="shared" si="20"/>
        <v>10</v>
      </c>
      <c r="J30" s="480">
        <f t="shared" si="20"/>
        <v>3335</v>
      </c>
      <c r="K30" s="310">
        <f t="shared" si="21"/>
        <v>3504</v>
      </c>
      <c r="L30" s="480">
        <f t="shared" si="22"/>
        <v>4</v>
      </c>
      <c r="M30" s="480">
        <f t="shared" si="22"/>
        <v>154</v>
      </c>
      <c r="N30" s="480">
        <f t="shared" si="22"/>
        <v>3787</v>
      </c>
      <c r="O30" s="310">
        <f t="shared" si="23"/>
        <v>3945</v>
      </c>
      <c r="P30" s="473">
        <f t="shared" si="24"/>
        <v>225</v>
      </c>
      <c r="Q30" s="473">
        <f t="shared" si="24"/>
        <v>154</v>
      </c>
      <c r="R30" s="473">
        <f t="shared" si="24"/>
        <v>3566</v>
      </c>
      <c r="S30" s="310">
        <f t="shared" si="25"/>
        <v>3945</v>
      </c>
      <c r="T30" s="481" t="str">
        <f t="shared" si="26"/>
        <v>4</v>
      </c>
      <c r="U30" s="83">
        <f t="shared" si="27"/>
        <v>-441</v>
      </c>
      <c r="V30" s="45">
        <f t="shared" si="28"/>
        <v>0.12585616438356165</v>
      </c>
      <c r="W30" s="45"/>
      <c r="X30" s="91"/>
      <c r="Y30" s="91"/>
    </row>
    <row r="31" spans="1:29" customFormat="1" ht="12.75" customHeight="1" x14ac:dyDescent="0.35">
      <c r="A31" s="404" t="s">
        <v>978</v>
      </c>
      <c r="B31" s="468"/>
      <c r="C31" s="469"/>
      <c r="D31" s="470" t="s">
        <v>979</v>
      </c>
      <c r="E31" s="469"/>
      <c r="F31" s="471"/>
      <c r="G31" s="471"/>
      <c r="H31" s="480">
        <f t="shared" si="20"/>
        <v>34</v>
      </c>
      <c r="I31" s="480">
        <f t="shared" si="20"/>
        <v>5</v>
      </c>
      <c r="J31" s="480">
        <f t="shared" si="20"/>
        <v>32</v>
      </c>
      <c r="K31" s="310">
        <f t="shared" si="21"/>
        <v>71</v>
      </c>
      <c r="L31" s="480">
        <f t="shared" si="22"/>
        <v>6</v>
      </c>
      <c r="M31" s="480">
        <f t="shared" si="22"/>
        <v>12</v>
      </c>
      <c r="N31" s="480">
        <f t="shared" si="22"/>
        <v>94</v>
      </c>
      <c r="O31" s="310">
        <f t="shared" si="23"/>
        <v>112</v>
      </c>
      <c r="P31" s="473">
        <f t="shared" si="24"/>
        <v>6</v>
      </c>
      <c r="Q31" s="473">
        <f t="shared" si="24"/>
        <v>12</v>
      </c>
      <c r="R31" s="473">
        <f t="shared" si="24"/>
        <v>94</v>
      </c>
      <c r="S31" s="310">
        <f t="shared" si="25"/>
        <v>112</v>
      </c>
      <c r="T31" s="481" t="str">
        <f t="shared" si="26"/>
        <v>1</v>
      </c>
      <c r="U31" s="83">
        <f t="shared" si="27"/>
        <v>-41</v>
      </c>
      <c r="V31" s="45">
        <f t="shared" si="28"/>
        <v>0.57746478873239437</v>
      </c>
      <c r="W31" s="45"/>
      <c r="X31" s="91"/>
      <c r="Y31" s="91"/>
    </row>
    <row r="32" spans="1:29" customFormat="1" ht="12.75" customHeight="1" x14ac:dyDescent="0.35">
      <c r="A32" s="404" t="s">
        <v>980</v>
      </c>
      <c r="B32" s="468"/>
      <c r="C32" s="469"/>
      <c r="D32" s="470" t="s">
        <v>981</v>
      </c>
      <c r="E32" s="469"/>
      <c r="F32" s="471"/>
      <c r="G32" s="471"/>
      <c r="H32" s="480">
        <f t="shared" si="20"/>
        <v>200</v>
      </c>
      <c r="I32" s="480">
        <f t="shared" si="20"/>
        <v>370</v>
      </c>
      <c r="J32" s="480">
        <f t="shared" si="20"/>
        <v>8068</v>
      </c>
      <c r="K32" s="310">
        <f t="shared" si="21"/>
        <v>8638</v>
      </c>
      <c r="L32" s="480">
        <f t="shared" si="22"/>
        <v>235</v>
      </c>
      <c r="M32" s="480">
        <f t="shared" si="22"/>
        <v>56</v>
      </c>
      <c r="N32" s="480">
        <f t="shared" si="22"/>
        <v>10949</v>
      </c>
      <c r="O32" s="310">
        <f t="shared" si="23"/>
        <v>11240</v>
      </c>
      <c r="P32" s="473">
        <f t="shared" si="24"/>
        <v>328</v>
      </c>
      <c r="Q32" s="473">
        <f t="shared" si="24"/>
        <v>970</v>
      </c>
      <c r="R32" s="473">
        <f t="shared" si="24"/>
        <v>9942</v>
      </c>
      <c r="S32" s="310">
        <f t="shared" si="25"/>
        <v>11240</v>
      </c>
      <c r="T32" s="481" t="str">
        <f t="shared" si="26"/>
        <v>8</v>
      </c>
      <c r="U32" s="83">
        <f t="shared" si="27"/>
        <v>-2602</v>
      </c>
      <c r="V32" s="45">
        <f t="shared" si="28"/>
        <v>0.30122713591109052</v>
      </c>
      <c r="W32" s="45"/>
      <c r="X32" s="91"/>
      <c r="Y32" s="91"/>
    </row>
    <row r="33" spans="1:29" customFormat="1" ht="12.75" customHeight="1" x14ac:dyDescent="0.35">
      <c r="A33" s="404" t="s">
        <v>982</v>
      </c>
      <c r="B33" s="468"/>
      <c r="C33" s="469"/>
      <c r="D33" s="470" t="s">
        <v>983</v>
      </c>
      <c r="E33" s="469"/>
      <c r="F33" s="471"/>
      <c r="G33" s="471"/>
      <c r="H33" s="480">
        <f t="shared" si="20"/>
        <v>11</v>
      </c>
      <c r="I33" s="480">
        <f t="shared" si="20"/>
        <v>2</v>
      </c>
      <c r="J33" s="480">
        <f t="shared" si="20"/>
        <v>872</v>
      </c>
      <c r="K33" s="310">
        <f t="shared" si="21"/>
        <v>885</v>
      </c>
      <c r="L33" s="480">
        <f t="shared" si="22"/>
        <v>6</v>
      </c>
      <c r="M33" s="480">
        <f t="shared" si="22"/>
        <v>2</v>
      </c>
      <c r="N33" s="480">
        <f t="shared" si="22"/>
        <v>1045</v>
      </c>
      <c r="O33" s="310">
        <f t="shared" si="23"/>
        <v>1053</v>
      </c>
      <c r="P33" s="473">
        <f t="shared" si="24"/>
        <v>6</v>
      </c>
      <c r="Q33" s="473">
        <f t="shared" si="24"/>
        <v>2</v>
      </c>
      <c r="R33" s="473">
        <f t="shared" si="24"/>
        <v>1045</v>
      </c>
      <c r="S33" s="310">
        <f t="shared" si="25"/>
        <v>1053</v>
      </c>
      <c r="T33" s="481" t="str">
        <f t="shared" si="26"/>
        <v>5</v>
      </c>
      <c r="U33" s="83">
        <f t="shared" si="27"/>
        <v>-168</v>
      </c>
      <c r="V33" s="45">
        <f t="shared" si="28"/>
        <v>0.18983050847457628</v>
      </c>
      <c r="W33" s="45"/>
      <c r="X33" s="91"/>
      <c r="Y33" s="91"/>
    </row>
    <row r="34" spans="1:29" customFormat="1" ht="12.75" customHeight="1" x14ac:dyDescent="0.35">
      <c r="A34" s="404" t="s">
        <v>984</v>
      </c>
      <c r="B34" s="475"/>
      <c r="C34" s="476" t="s">
        <v>988</v>
      </c>
      <c r="D34" s="477"/>
      <c r="E34" s="477"/>
      <c r="F34" s="478"/>
      <c r="G34" s="478"/>
      <c r="H34" s="310">
        <f t="shared" ref="H34:S34" si="29">SUM(H27:H33)</f>
        <v>66408</v>
      </c>
      <c r="I34" s="310">
        <f t="shared" si="29"/>
        <v>1866</v>
      </c>
      <c r="J34" s="310">
        <f t="shared" si="29"/>
        <v>41888</v>
      </c>
      <c r="K34" s="310">
        <f t="shared" si="29"/>
        <v>110162</v>
      </c>
      <c r="L34" s="310">
        <f t="shared" si="29"/>
        <v>67569</v>
      </c>
      <c r="M34" s="310">
        <f t="shared" si="29"/>
        <v>2471</v>
      </c>
      <c r="N34" s="310">
        <f t="shared" si="29"/>
        <v>38860</v>
      </c>
      <c r="O34" s="310">
        <f t="shared" si="29"/>
        <v>108900</v>
      </c>
      <c r="P34" s="310">
        <f t="shared" si="29"/>
        <v>29400</v>
      </c>
      <c r="Q34" s="310">
        <f t="shared" si="29"/>
        <v>2920</v>
      </c>
      <c r="R34" s="310">
        <f t="shared" si="29"/>
        <v>76580</v>
      </c>
      <c r="S34" s="310">
        <f t="shared" si="29"/>
        <v>108900</v>
      </c>
      <c r="T34" s="45"/>
      <c r="U34" s="83">
        <f t="shared" si="27"/>
        <v>1262</v>
      </c>
      <c r="V34" s="45">
        <f t="shared" si="28"/>
        <v>1.1588613406795225E-2</v>
      </c>
      <c r="W34" s="45"/>
      <c r="X34" s="91"/>
      <c r="Y34" s="91"/>
    </row>
    <row r="35" spans="1:29" customFormat="1" ht="12.75" customHeight="1" x14ac:dyDescent="0.35">
      <c r="A35" s="404"/>
      <c r="B35" s="482"/>
      <c r="C35" s="483"/>
      <c r="D35" s="484"/>
      <c r="E35" s="484"/>
      <c r="F35" s="485"/>
      <c r="G35" s="485"/>
      <c r="H35" s="109"/>
      <c r="I35" s="109"/>
      <c r="J35" s="109"/>
      <c r="K35" s="109"/>
      <c r="L35" s="109"/>
      <c r="M35" s="109"/>
      <c r="N35" s="109"/>
      <c r="O35" s="109"/>
      <c r="P35" s="109"/>
      <c r="Q35" s="109"/>
      <c r="R35" s="109"/>
      <c r="S35" s="109"/>
      <c r="T35" s="45"/>
    </row>
    <row r="36" spans="1:29" customFormat="1" ht="15.75" customHeight="1" thickBot="1" x14ac:dyDescent="0.4">
      <c r="A36" s="404" t="s">
        <v>619</v>
      </c>
      <c r="B36" s="463"/>
      <c r="C36" s="460" t="s">
        <v>989</v>
      </c>
      <c r="D36" s="465"/>
      <c r="E36" s="465"/>
      <c r="F36" s="466"/>
      <c r="G36" s="466"/>
      <c r="H36" s="486"/>
      <c r="I36" s="486"/>
      <c r="J36" s="486"/>
      <c r="K36" s="486"/>
      <c r="L36" s="486"/>
      <c r="M36" s="486"/>
      <c r="N36" s="486"/>
      <c r="O36" s="486"/>
      <c r="P36" s="486"/>
      <c r="Q36" s="486"/>
      <c r="R36" s="486"/>
      <c r="S36" s="486"/>
      <c r="T36" s="45"/>
    </row>
    <row r="37" spans="1:29" customFormat="1" ht="12.75" customHeight="1" thickBot="1" x14ac:dyDescent="0.4">
      <c r="A37" s="404" t="s">
        <v>970</v>
      </c>
      <c r="B37" s="468"/>
      <c r="C37" s="469"/>
      <c r="D37" s="470" t="s">
        <v>971</v>
      </c>
      <c r="E37" s="469"/>
      <c r="F37" s="471"/>
      <c r="G37" s="471"/>
      <c r="H37" s="487">
        <v>1561</v>
      </c>
      <c r="I37" s="487">
        <v>25</v>
      </c>
      <c r="J37" s="487">
        <v>13635</v>
      </c>
      <c r="K37" s="488">
        <f t="shared" ref="K37:K43" si="30">SUM(H37:J37)</f>
        <v>15221</v>
      </c>
      <c r="L37" s="487">
        <v>132</v>
      </c>
      <c r="M37" s="472">
        <v>36</v>
      </c>
      <c r="N37" s="487">
        <v>16105</v>
      </c>
      <c r="O37" s="488">
        <f t="shared" ref="O37:O43" si="31">SUM(L37:N37)</f>
        <v>16273</v>
      </c>
      <c r="P37" s="489">
        <v>132</v>
      </c>
      <c r="Q37" s="489">
        <v>36</v>
      </c>
      <c r="R37" s="489">
        <v>16105</v>
      </c>
      <c r="S37" s="490">
        <f t="shared" ref="S37:S43" si="32">SUM(P37:R37)</f>
        <v>16273</v>
      </c>
      <c r="T37" s="481" t="str">
        <f t="shared" ref="T37:T43" si="33">IF(K37=0,"zero",RIGHT(K37,1))</f>
        <v>1</v>
      </c>
      <c r="U37" s="107">
        <f t="shared" ref="U37:U44" si="34">K37-O37</f>
        <v>-1052</v>
      </c>
      <c r="V37" s="43">
        <f t="shared" ref="V37:V44" si="35">IF(AND(OR(K37=0,O37&lt;&gt;0),OR(O37=0,K37&lt;&gt;0)),IF((K37+O37+U37&lt;&gt;0),IF(AND(OR(K37&gt;0,O37&lt;0),OR(O37&gt;0,K37&lt;0)),ABS(U37/MIN(ABS(O37),ABS(K37))),10),"-"),10)</f>
        <v>6.9115038433742851E-2</v>
      </c>
      <c r="W37" s="45"/>
      <c r="X37" s="90"/>
      <c r="Y37" s="91"/>
      <c r="Z37" s="27">
        <f t="shared" ref="Z37:Z43" si="36">IF(AND(U37&gt;750,V37&gt;2),1,0)</f>
        <v>0</v>
      </c>
      <c r="AA37" s="27">
        <f t="shared" ref="AA37:AA43" si="37">IF(AND(U37&lt;-750,V37&gt;2),1,0)</f>
        <v>0</v>
      </c>
      <c r="AB37" s="27">
        <f t="shared" ref="AB37:AB43" si="38">SUM(Z37:AA37)</f>
        <v>0</v>
      </c>
      <c r="AC37" s="75" t="str">
        <f t="shared" ref="AC37:AC43" si="39">IF(AB37&lt;&gt;0,$A$36&amp;A37&amp;" ("&amp;K37&amp;", "&amp;O37&amp;")"&amp;", ","")</f>
        <v/>
      </c>
    </row>
    <row r="38" spans="1:29" customFormat="1" ht="12.75" customHeight="1" thickBot="1" x14ac:dyDescent="0.4">
      <c r="A38" s="404" t="s">
        <v>972</v>
      </c>
      <c r="B38" s="468"/>
      <c r="C38" s="469"/>
      <c r="D38" s="470" t="s">
        <v>973</v>
      </c>
      <c r="E38" s="469"/>
      <c r="F38" s="110"/>
      <c r="G38" s="110"/>
      <c r="H38" s="487">
        <v>0</v>
      </c>
      <c r="I38" s="487">
        <v>0</v>
      </c>
      <c r="J38" s="487">
        <v>0</v>
      </c>
      <c r="K38" s="488">
        <f t="shared" si="30"/>
        <v>0</v>
      </c>
      <c r="L38" s="487">
        <v>0</v>
      </c>
      <c r="M38" s="472">
        <v>0</v>
      </c>
      <c r="N38" s="487">
        <v>0</v>
      </c>
      <c r="O38" s="488">
        <f t="shared" si="31"/>
        <v>0</v>
      </c>
      <c r="P38" s="489">
        <v>0</v>
      </c>
      <c r="Q38" s="489">
        <v>0</v>
      </c>
      <c r="R38" s="489">
        <v>0</v>
      </c>
      <c r="S38" s="490">
        <f t="shared" si="32"/>
        <v>0</v>
      </c>
      <c r="T38" s="481" t="str">
        <f t="shared" si="33"/>
        <v>zero</v>
      </c>
      <c r="U38" s="107">
        <f t="shared" si="34"/>
        <v>0</v>
      </c>
      <c r="V38" s="43" t="str">
        <f t="shared" si="35"/>
        <v>-</v>
      </c>
      <c r="W38" s="45"/>
      <c r="X38" s="90"/>
      <c r="Y38" s="91"/>
      <c r="Z38" s="27">
        <f t="shared" si="36"/>
        <v>0</v>
      </c>
      <c r="AA38" s="27">
        <f t="shared" si="37"/>
        <v>0</v>
      </c>
      <c r="AB38" s="27">
        <f t="shared" si="38"/>
        <v>0</v>
      </c>
      <c r="AC38" s="75" t="str">
        <f t="shared" si="39"/>
        <v/>
      </c>
    </row>
    <row r="39" spans="1:29" customFormat="1" ht="12.75" customHeight="1" thickBot="1" x14ac:dyDescent="0.4">
      <c r="A39" s="404" t="s">
        <v>974</v>
      </c>
      <c r="B39" s="468"/>
      <c r="C39" s="469"/>
      <c r="D39" s="470" t="s">
        <v>975</v>
      </c>
      <c r="E39" s="469"/>
      <c r="F39" s="471"/>
      <c r="G39" s="471"/>
      <c r="H39" s="487">
        <v>301</v>
      </c>
      <c r="I39" s="487">
        <v>64</v>
      </c>
      <c r="J39" s="487">
        <v>6382</v>
      </c>
      <c r="K39" s="488">
        <f t="shared" si="30"/>
        <v>6747</v>
      </c>
      <c r="L39" s="487">
        <v>132</v>
      </c>
      <c r="M39" s="472">
        <v>301</v>
      </c>
      <c r="N39" s="487">
        <v>1398</v>
      </c>
      <c r="O39" s="488">
        <f t="shared" si="31"/>
        <v>1831</v>
      </c>
      <c r="P39" s="489">
        <v>132</v>
      </c>
      <c r="Q39" s="489">
        <v>301</v>
      </c>
      <c r="R39" s="489">
        <v>1398</v>
      </c>
      <c r="S39" s="490">
        <f t="shared" si="32"/>
        <v>1831</v>
      </c>
      <c r="T39" s="481" t="str">
        <f t="shared" si="33"/>
        <v>7</v>
      </c>
      <c r="U39" s="107">
        <f t="shared" si="34"/>
        <v>4916</v>
      </c>
      <c r="V39" s="43">
        <f t="shared" si="35"/>
        <v>2.6848716548334242</v>
      </c>
      <c r="W39" s="45"/>
      <c r="X39" s="90" t="s">
        <v>106</v>
      </c>
      <c r="Y39" s="91"/>
      <c r="Z39" s="27">
        <f t="shared" si="36"/>
        <v>1</v>
      </c>
      <c r="AA39" s="27">
        <f t="shared" si="37"/>
        <v>0</v>
      </c>
      <c r="AB39" s="27">
        <f t="shared" si="38"/>
        <v>1</v>
      </c>
      <c r="AC39" s="75" t="str">
        <f t="shared" si="39"/>
        <v xml:space="preserve">1diii (6747, 1831), </v>
      </c>
    </row>
    <row r="40" spans="1:29" customFormat="1" ht="12.75" customHeight="1" thickBot="1" x14ac:dyDescent="0.4">
      <c r="A40" s="404" t="s">
        <v>976</v>
      </c>
      <c r="B40" s="468"/>
      <c r="C40" s="469"/>
      <c r="D40" s="470" t="s">
        <v>977</v>
      </c>
      <c r="E40" s="469"/>
      <c r="F40" s="471"/>
      <c r="G40" s="471"/>
      <c r="H40" s="487">
        <v>0</v>
      </c>
      <c r="I40" s="487">
        <v>0</v>
      </c>
      <c r="J40" s="487">
        <v>1119</v>
      </c>
      <c r="K40" s="488">
        <f t="shared" si="30"/>
        <v>1119</v>
      </c>
      <c r="L40" s="487">
        <v>0</v>
      </c>
      <c r="M40" s="472">
        <v>0</v>
      </c>
      <c r="N40" s="487">
        <v>3653</v>
      </c>
      <c r="O40" s="488">
        <f t="shared" si="31"/>
        <v>3653</v>
      </c>
      <c r="P40" s="489">
        <v>0</v>
      </c>
      <c r="Q40" s="489">
        <v>0</v>
      </c>
      <c r="R40" s="489">
        <v>3653</v>
      </c>
      <c r="S40" s="490">
        <f t="shared" si="32"/>
        <v>3653</v>
      </c>
      <c r="T40" s="481" t="str">
        <f t="shared" si="33"/>
        <v>9</v>
      </c>
      <c r="U40" s="107">
        <f t="shared" si="34"/>
        <v>-2534</v>
      </c>
      <c r="V40" s="43">
        <f t="shared" si="35"/>
        <v>2.2645218945487042</v>
      </c>
      <c r="W40" s="45"/>
      <c r="X40" s="90" t="s">
        <v>106</v>
      </c>
      <c r="Y40" s="91"/>
      <c r="Z40" s="27">
        <f t="shared" si="36"/>
        <v>0</v>
      </c>
      <c r="AA40" s="27">
        <f t="shared" si="37"/>
        <v>1</v>
      </c>
      <c r="AB40" s="27">
        <f t="shared" si="38"/>
        <v>1</v>
      </c>
      <c r="AC40" s="75" t="str">
        <f t="shared" si="39"/>
        <v xml:space="preserve">1div (1119, 3653), </v>
      </c>
    </row>
    <row r="41" spans="1:29" customFormat="1" ht="12.75" customHeight="1" thickBot="1" x14ac:dyDescent="0.4">
      <c r="A41" s="404" t="s">
        <v>978</v>
      </c>
      <c r="B41" s="468"/>
      <c r="C41" s="469"/>
      <c r="D41" s="470" t="s">
        <v>979</v>
      </c>
      <c r="E41" s="469"/>
      <c r="F41" s="110"/>
      <c r="G41" s="110"/>
      <c r="H41" s="487">
        <v>0</v>
      </c>
      <c r="I41" s="487">
        <v>0</v>
      </c>
      <c r="J41" s="487">
        <v>9</v>
      </c>
      <c r="K41" s="488">
        <f t="shared" si="30"/>
        <v>9</v>
      </c>
      <c r="L41" s="487">
        <v>9</v>
      </c>
      <c r="M41" s="472">
        <v>0</v>
      </c>
      <c r="N41" s="487">
        <v>0</v>
      </c>
      <c r="O41" s="488">
        <f t="shared" si="31"/>
        <v>9</v>
      </c>
      <c r="P41" s="489">
        <v>9</v>
      </c>
      <c r="Q41" s="489">
        <v>0</v>
      </c>
      <c r="R41" s="489">
        <v>0</v>
      </c>
      <c r="S41" s="490">
        <f t="shared" si="32"/>
        <v>9</v>
      </c>
      <c r="T41" s="481" t="str">
        <f t="shared" si="33"/>
        <v>9</v>
      </c>
      <c r="U41" s="107">
        <f t="shared" si="34"/>
        <v>0</v>
      </c>
      <c r="V41" s="43">
        <f t="shared" si="35"/>
        <v>0</v>
      </c>
      <c r="W41" s="45"/>
      <c r="X41" s="90"/>
      <c r="Y41" s="91"/>
      <c r="Z41" s="27">
        <f t="shared" si="36"/>
        <v>0</v>
      </c>
      <c r="AA41" s="27">
        <f t="shared" si="37"/>
        <v>0</v>
      </c>
      <c r="AB41" s="27">
        <f t="shared" si="38"/>
        <v>0</v>
      </c>
      <c r="AC41" s="75" t="str">
        <f t="shared" si="39"/>
        <v/>
      </c>
    </row>
    <row r="42" spans="1:29" customFormat="1" ht="12.75" customHeight="1" thickBot="1" x14ac:dyDescent="0.4">
      <c r="A42" s="404" t="s">
        <v>980</v>
      </c>
      <c r="B42" s="468"/>
      <c r="C42" s="491"/>
      <c r="D42" s="470" t="s">
        <v>981</v>
      </c>
      <c r="E42" s="469"/>
      <c r="F42" s="471"/>
      <c r="G42" s="471"/>
      <c r="H42" s="487">
        <v>4</v>
      </c>
      <c r="I42" s="487">
        <v>0</v>
      </c>
      <c r="J42" s="487">
        <v>2415</v>
      </c>
      <c r="K42" s="488">
        <f t="shared" si="30"/>
        <v>2419</v>
      </c>
      <c r="L42" s="487">
        <v>2</v>
      </c>
      <c r="M42" s="472">
        <v>0</v>
      </c>
      <c r="N42" s="487">
        <v>3228</v>
      </c>
      <c r="O42" s="488">
        <f t="shared" si="31"/>
        <v>3230</v>
      </c>
      <c r="P42" s="489">
        <v>2</v>
      </c>
      <c r="Q42" s="489">
        <v>0</v>
      </c>
      <c r="R42" s="489">
        <v>3228</v>
      </c>
      <c r="S42" s="490">
        <f t="shared" si="32"/>
        <v>3230</v>
      </c>
      <c r="T42" s="481" t="str">
        <f t="shared" si="33"/>
        <v>9</v>
      </c>
      <c r="U42" s="107">
        <f t="shared" si="34"/>
        <v>-811</v>
      </c>
      <c r="V42" s="43">
        <f t="shared" si="35"/>
        <v>0.33526250516742456</v>
      </c>
      <c r="W42" s="45"/>
      <c r="X42" s="90"/>
      <c r="Y42" s="91"/>
      <c r="Z42" s="27">
        <f t="shared" si="36"/>
        <v>0</v>
      </c>
      <c r="AA42" s="27">
        <f t="shared" si="37"/>
        <v>0</v>
      </c>
      <c r="AB42" s="27">
        <f t="shared" si="38"/>
        <v>0</v>
      </c>
      <c r="AC42" s="75" t="str">
        <f t="shared" si="39"/>
        <v/>
      </c>
    </row>
    <row r="43" spans="1:29" customFormat="1" ht="12.75" customHeight="1" thickBot="1" x14ac:dyDescent="0.4">
      <c r="A43" s="404" t="s">
        <v>982</v>
      </c>
      <c r="B43" s="468"/>
      <c r="C43" s="469"/>
      <c r="D43" s="470" t="s">
        <v>983</v>
      </c>
      <c r="E43" s="469"/>
      <c r="F43" s="471"/>
      <c r="G43" s="471"/>
      <c r="H43" s="487">
        <v>0</v>
      </c>
      <c r="I43" s="487">
        <v>0</v>
      </c>
      <c r="J43" s="487">
        <v>184</v>
      </c>
      <c r="K43" s="488">
        <f t="shared" si="30"/>
        <v>184</v>
      </c>
      <c r="L43" s="487">
        <v>2</v>
      </c>
      <c r="M43" s="472">
        <v>0</v>
      </c>
      <c r="N43" s="487">
        <v>402</v>
      </c>
      <c r="O43" s="488">
        <f t="shared" si="31"/>
        <v>404</v>
      </c>
      <c r="P43" s="489">
        <v>2</v>
      </c>
      <c r="Q43" s="489">
        <v>0</v>
      </c>
      <c r="R43" s="489">
        <v>402</v>
      </c>
      <c r="S43" s="490">
        <f t="shared" si="32"/>
        <v>404</v>
      </c>
      <c r="T43" s="481" t="str">
        <f t="shared" si="33"/>
        <v>4</v>
      </c>
      <c r="U43" s="107">
        <f t="shared" si="34"/>
        <v>-220</v>
      </c>
      <c r="V43" s="43">
        <f t="shared" si="35"/>
        <v>1.1956521739130435</v>
      </c>
      <c r="W43" s="45"/>
      <c r="X43" s="90"/>
      <c r="Y43" s="91"/>
      <c r="Z43" s="27">
        <f t="shared" si="36"/>
        <v>0</v>
      </c>
      <c r="AA43" s="27">
        <f t="shared" si="37"/>
        <v>0</v>
      </c>
      <c r="AB43" s="27">
        <f t="shared" si="38"/>
        <v>0</v>
      </c>
      <c r="AC43" s="75" t="str">
        <f t="shared" si="39"/>
        <v/>
      </c>
    </row>
    <row r="44" spans="1:29" customFormat="1" ht="12.75" customHeight="1" x14ac:dyDescent="0.35">
      <c r="A44" s="404" t="s">
        <v>984</v>
      </c>
      <c r="B44" s="475"/>
      <c r="C44" s="476" t="s">
        <v>990</v>
      </c>
      <c r="D44" s="477"/>
      <c r="E44" s="477"/>
      <c r="F44" s="478"/>
      <c r="G44" s="478"/>
      <c r="H44" s="488">
        <f t="shared" ref="H44:S44" si="40">SUM(H37:H43)</f>
        <v>1866</v>
      </c>
      <c r="I44" s="488">
        <f t="shared" si="40"/>
        <v>89</v>
      </c>
      <c r="J44" s="488">
        <f t="shared" si="40"/>
        <v>23744</v>
      </c>
      <c r="K44" s="488">
        <f t="shared" si="40"/>
        <v>25699</v>
      </c>
      <c r="L44" s="488">
        <f t="shared" si="40"/>
        <v>277</v>
      </c>
      <c r="M44" s="488">
        <f t="shared" si="40"/>
        <v>337</v>
      </c>
      <c r="N44" s="488">
        <f t="shared" si="40"/>
        <v>24786</v>
      </c>
      <c r="O44" s="488">
        <f t="shared" si="40"/>
        <v>25400</v>
      </c>
      <c r="P44" s="490">
        <f t="shared" si="40"/>
        <v>277</v>
      </c>
      <c r="Q44" s="490">
        <f t="shared" si="40"/>
        <v>337</v>
      </c>
      <c r="R44" s="490">
        <f t="shared" si="40"/>
        <v>24786</v>
      </c>
      <c r="S44" s="490">
        <f t="shared" si="40"/>
        <v>25400</v>
      </c>
      <c r="T44" s="45"/>
      <c r="U44" s="83">
        <f t="shared" si="34"/>
        <v>299</v>
      </c>
      <c r="V44" s="45">
        <f t="shared" si="35"/>
        <v>1.1771653543307087E-2</v>
      </c>
      <c r="W44" s="45"/>
      <c r="X44" s="108"/>
      <c r="Y44" s="91"/>
    </row>
    <row r="45" spans="1:29" customFormat="1" ht="12.75" customHeight="1" x14ac:dyDescent="0.35">
      <c r="A45" s="404"/>
      <c r="B45" s="482"/>
      <c r="C45" s="483"/>
      <c r="D45" s="484"/>
      <c r="E45" s="484"/>
      <c r="F45" s="485"/>
      <c r="G45" s="485"/>
      <c r="H45" s="109"/>
      <c r="I45" s="109"/>
      <c r="J45" s="109"/>
      <c r="K45" s="109"/>
      <c r="L45" s="109"/>
      <c r="M45" s="109"/>
      <c r="N45" s="109"/>
      <c r="O45" s="109"/>
      <c r="P45" s="109"/>
      <c r="Q45" s="109"/>
      <c r="R45" s="109"/>
      <c r="S45" s="109"/>
      <c r="T45" s="45"/>
    </row>
    <row r="46" spans="1:29" customFormat="1" ht="12.75" customHeight="1" x14ac:dyDescent="0.35">
      <c r="A46" s="404" t="s">
        <v>621</v>
      </c>
      <c r="B46" s="492"/>
      <c r="C46" s="476" t="s">
        <v>991</v>
      </c>
      <c r="D46" s="477"/>
      <c r="E46" s="477"/>
      <c r="F46" s="478"/>
      <c r="G46" s="478"/>
      <c r="H46" s="488">
        <f t="shared" ref="H46:S46" si="41">SUM(H34+H44)</f>
        <v>68274</v>
      </c>
      <c r="I46" s="488">
        <f t="shared" si="41"/>
        <v>1955</v>
      </c>
      <c r="J46" s="488">
        <f t="shared" si="41"/>
        <v>65632</v>
      </c>
      <c r="K46" s="488">
        <f t="shared" si="41"/>
        <v>135861</v>
      </c>
      <c r="L46" s="488">
        <f t="shared" si="41"/>
        <v>67846</v>
      </c>
      <c r="M46" s="488">
        <f t="shared" si="41"/>
        <v>2808</v>
      </c>
      <c r="N46" s="488">
        <f t="shared" si="41"/>
        <v>63646</v>
      </c>
      <c r="O46" s="488">
        <f t="shared" si="41"/>
        <v>134300</v>
      </c>
      <c r="P46" s="490">
        <f t="shared" si="41"/>
        <v>29677</v>
      </c>
      <c r="Q46" s="490">
        <f t="shared" si="41"/>
        <v>3257</v>
      </c>
      <c r="R46" s="490">
        <f t="shared" si="41"/>
        <v>101366</v>
      </c>
      <c r="S46" s="490">
        <f t="shared" si="41"/>
        <v>134300</v>
      </c>
      <c r="T46" s="45"/>
      <c r="U46" s="83">
        <f>K46-O46</f>
        <v>1561</v>
      </c>
      <c r="V46" s="45">
        <f>IF(AND(OR(K46=0,O46&lt;&gt;0),OR(O46=0,K46&lt;&gt;0)),IF((K46+O46+U46&lt;&gt;0),IF(AND(OR(K46&gt;0,O46&lt;0),OR(O46&gt;0,K46&lt;0)),ABS(U46/MIN(ABS(O46),ABS(K46))),10),"-"),10)</f>
        <v>1.1623231571109456E-2</v>
      </c>
      <c r="W46" s="45"/>
      <c r="X46" s="91"/>
      <c r="Y46" s="91"/>
    </row>
    <row r="47" spans="1:29" customFormat="1" ht="12.75" customHeight="1" x14ac:dyDescent="0.35">
      <c r="A47" s="404"/>
      <c r="B47" s="482"/>
      <c r="C47" s="483"/>
      <c r="D47" s="484"/>
      <c r="E47" s="484"/>
      <c r="F47" s="485"/>
      <c r="G47" s="485"/>
      <c r="H47" s="109"/>
      <c r="I47" s="109"/>
      <c r="J47" s="109"/>
      <c r="K47" s="109"/>
      <c r="L47" s="109"/>
      <c r="M47" s="109"/>
      <c r="N47" s="109"/>
      <c r="O47" s="109"/>
      <c r="P47" s="109"/>
      <c r="Q47" s="109"/>
      <c r="R47" s="109"/>
      <c r="S47" s="109"/>
      <c r="T47" s="45"/>
    </row>
    <row r="48" spans="1:29" customFormat="1" ht="12.75" customHeight="1" thickBot="1" x14ac:dyDescent="0.4">
      <c r="A48" s="404" t="s">
        <v>623</v>
      </c>
      <c r="B48" s="463"/>
      <c r="C48" s="460" t="s">
        <v>992</v>
      </c>
      <c r="D48" s="493"/>
      <c r="E48" s="493"/>
      <c r="F48" s="466"/>
      <c r="G48" s="466"/>
      <c r="H48" s="486"/>
      <c r="I48" s="486"/>
      <c r="J48" s="486"/>
      <c r="K48" s="486"/>
      <c r="L48" s="486"/>
      <c r="M48" s="486"/>
      <c r="N48" s="486"/>
      <c r="O48" s="486"/>
      <c r="P48" s="486"/>
      <c r="Q48" s="486"/>
      <c r="R48" s="486"/>
      <c r="S48" s="486"/>
      <c r="T48" s="45"/>
    </row>
    <row r="49" spans="1:29" customFormat="1" ht="12.75" customHeight="1" thickBot="1" x14ac:dyDescent="0.4">
      <c r="A49" s="404" t="s">
        <v>970</v>
      </c>
      <c r="B49" s="468"/>
      <c r="C49" s="469"/>
      <c r="D49" s="470" t="s">
        <v>971</v>
      </c>
      <c r="E49" s="469"/>
      <c r="F49" s="471"/>
      <c r="G49" s="471"/>
      <c r="H49" s="494" t="s">
        <v>993</v>
      </c>
      <c r="I49" s="494" t="s">
        <v>993</v>
      </c>
      <c r="J49" s="494" t="s">
        <v>993</v>
      </c>
      <c r="K49" s="487">
        <v>195686</v>
      </c>
      <c r="L49" s="494" t="s">
        <v>993</v>
      </c>
      <c r="M49" s="494" t="s">
        <v>993</v>
      </c>
      <c r="N49" s="494" t="s">
        <v>993</v>
      </c>
      <c r="O49" s="472">
        <v>182685</v>
      </c>
      <c r="P49" s="494" t="s">
        <v>993</v>
      </c>
      <c r="Q49" s="494" t="s">
        <v>993</v>
      </c>
      <c r="R49" s="494" t="s">
        <v>993</v>
      </c>
      <c r="S49" s="487">
        <v>182685</v>
      </c>
      <c r="T49" s="481" t="str">
        <f t="shared" ref="T49:T55" si="42">IF(K49=0,"zero",RIGHT(K49,1))</f>
        <v>6</v>
      </c>
      <c r="U49" s="107">
        <f t="shared" ref="U49:U56" si="43">K49-O49</f>
        <v>13001</v>
      </c>
      <c r="V49" s="43">
        <f t="shared" ref="V49:V56" si="44">IF(AND(OR(K49=0,O49&lt;&gt;0),OR(O49=0,K49&lt;&gt;0)),IF((K49+O49+U49&lt;&gt;0),IF(AND(OR(K49&gt;0,O49&lt;0),OR(O49&gt;0,K49&lt;0)),ABS(U49/MIN(ABS(O49),ABS(K49))),10),"-"),10)</f>
        <v>7.1166215069655411E-2</v>
      </c>
      <c r="W49" s="45"/>
      <c r="X49" s="90"/>
      <c r="Y49" s="91"/>
      <c r="Z49" s="27">
        <f t="shared" ref="Z49:Z55" si="45">IF(AND(U49&gt;750,V49&gt;2),1,0)</f>
        <v>0</v>
      </c>
      <c r="AA49" s="27">
        <f t="shared" ref="AA49:AA55" si="46">IF(AND(U49&lt;-750,V49&gt;2),1,0)</f>
        <v>0</v>
      </c>
      <c r="AB49" s="27">
        <f t="shared" ref="AB49:AB55" si="47">SUM(Z49:AA49)</f>
        <v>0</v>
      </c>
      <c r="AC49" s="75" t="str">
        <f t="shared" ref="AC49:AC55" si="48">IF(AB49&lt;&gt;0,$A$48&amp;A49&amp;" ("&amp;K49&amp;", "&amp;O49&amp;")"&amp;", ","")</f>
        <v/>
      </c>
    </row>
    <row r="50" spans="1:29" customFormat="1" ht="12.75" customHeight="1" thickBot="1" x14ac:dyDescent="0.4">
      <c r="A50" s="404" t="s">
        <v>972</v>
      </c>
      <c r="B50" s="468"/>
      <c r="C50" s="469"/>
      <c r="D50" s="470" t="s">
        <v>973</v>
      </c>
      <c r="E50" s="469"/>
      <c r="F50" s="471"/>
      <c r="G50" s="471"/>
      <c r="H50" s="494" t="s">
        <v>993</v>
      </c>
      <c r="I50" s="494" t="s">
        <v>993</v>
      </c>
      <c r="J50" s="494" t="s">
        <v>993</v>
      </c>
      <c r="K50" s="487">
        <v>0</v>
      </c>
      <c r="L50" s="494" t="s">
        <v>993</v>
      </c>
      <c r="M50" s="494" t="s">
        <v>993</v>
      </c>
      <c r="N50" s="494" t="s">
        <v>993</v>
      </c>
      <c r="O50" s="472">
        <v>0</v>
      </c>
      <c r="P50" s="494" t="s">
        <v>993</v>
      </c>
      <c r="Q50" s="494" t="s">
        <v>993</v>
      </c>
      <c r="R50" s="494" t="s">
        <v>993</v>
      </c>
      <c r="S50" s="487">
        <v>0</v>
      </c>
      <c r="T50" s="481" t="str">
        <f t="shared" si="42"/>
        <v>zero</v>
      </c>
      <c r="U50" s="107">
        <f t="shared" si="43"/>
        <v>0</v>
      </c>
      <c r="V50" s="43" t="str">
        <f t="shared" si="44"/>
        <v>-</v>
      </c>
      <c r="W50" s="45"/>
      <c r="X50" s="90"/>
      <c r="Y50" s="91"/>
      <c r="Z50" s="27">
        <f t="shared" si="45"/>
        <v>0</v>
      </c>
      <c r="AA50" s="27">
        <f t="shared" si="46"/>
        <v>0</v>
      </c>
      <c r="AB50" s="27">
        <f t="shared" si="47"/>
        <v>0</v>
      </c>
      <c r="AC50" s="75" t="str">
        <f t="shared" si="48"/>
        <v/>
      </c>
    </row>
    <row r="51" spans="1:29" customFormat="1" ht="12.75" customHeight="1" thickBot="1" x14ac:dyDescent="0.4">
      <c r="A51" s="404" t="s">
        <v>974</v>
      </c>
      <c r="B51" s="468"/>
      <c r="C51" s="469"/>
      <c r="D51" s="470" t="s">
        <v>975</v>
      </c>
      <c r="E51" s="469"/>
      <c r="F51" s="471"/>
      <c r="G51" s="471"/>
      <c r="H51" s="494" t="s">
        <v>993</v>
      </c>
      <c r="I51" s="494" t="s">
        <v>993</v>
      </c>
      <c r="J51" s="494" t="s">
        <v>993</v>
      </c>
      <c r="K51" s="487">
        <v>158740</v>
      </c>
      <c r="L51" s="494" t="s">
        <v>993</v>
      </c>
      <c r="M51" s="494" t="s">
        <v>993</v>
      </c>
      <c r="N51" s="494" t="s">
        <v>993</v>
      </c>
      <c r="O51" s="472">
        <v>143489</v>
      </c>
      <c r="P51" s="494" t="s">
        <v>993</v>
      </c>
      <c r="Q51" s="494" t="s">
        <v>993</v>
      </c>
      <c r="R51" s="494" t="s">
        <v>993</v>
      </c>
      <c r="S51" s="487">
        <v>143489</v>
      </c>
      <c r="T51" s="481" t="str">
        <f t="shared" si="42"/>
        <v>0</v>
      </c>
      <c r="U51" s="107">
        <f t="shared" si="43"/>
        <v>15251</v>
      </c>
      <c r="V51" s="43">
        <f t="shared" si="44"/>
        <v>0.10628689307194279</v>
      </c>
      <c r="W51" s="45"/>
      <c r="X51" s="90"/>
      <c r="Y51" s="91"/>
      <c r="Z51" s="27">
        <f t="shared" si="45"/>
        <v>0</v>
      </c>
      <c r="AA51" s="27">
        <f t="shared" si="46"/>
        <v>0</v>
      </c>
      <c r="AB51" s="27">
        <f t="shared" si="47"/>
        <v>0</v>
      </c>
      <c r="AC51" s="75" t="str">
        <f t="shared" si="48"/>
        <v/>
      </c>
    </row>
    <row r="52" spans="1:29" customFormat="1" ht="12.75" customHeight="1" thickBot="1" x14ac:dyDescent="0.4">
      <c r="A52" s="404" t="s">
        <v>976</v>
      </c>
      <c r="B52" s="468"/>
      <c r="C52" s="469"/>
      <c r="D52" s="470" t="s">
        <v>977</v>
      </c>
      <c r="E52" s="469"/>
      <c r="F52" s="110"/>
      <c r="G52" s="110"/>
      <c r="H52" s="494" t="s">
        <v>993</v>
      </c>
      <c r="I52" s="494" t="s">
        <v>993</v>
      </c>
      <c r="J52" s="494" t="s">
        <v>993</v>
      </c>
      <c r="K52" s="487">
        <v>22159</v>
      </c>
      <c r="L52" s="494" t="s">
        <v>993</v>
      </c>
      <c r="M52" s="494" t="s">
        <v>993</v>
      </c>
      <c r="N52" s="494" t="s">
        <v>993</v>
      </c>
      <c r="O52" s="472">
        <v>25412</v>
      </c>
      <c r="P52" s="494" t="s">
        <v>993</v>
      </c>
      <c r="Q52" s="494" t="s">
        <v>993</v>
      </c>
      <c r="R52" s="494" t="s">
        <v>993</v>
      </c>
      <c r="S52" s="487">
        <v>25412</v>
      </c>
      <c r="T52" s="481" t="str">
        <f t="shared" si="42"/>
        <v>9</v>
      </c>
      <c r="U52" s="107">
        <f t="shared" si="43"/>
        <v>-3253</v>
      </c>
      <c r="V52" s="43">
        <f t="shared" si="44"/>
        <v>0.14680265354934791</v>
      </c>
      <c r="W52" s="45"/>
      <c r="X52" s="90"/>
      <c r="Y52" s="91"/>
      <c r="Z52" s="27">
        <f t="shared" si="45"/>
        <v>0</v>
      </c>
      <c r="AA52" s="27">
        <f t="shared" si="46"/>
        <v>0</v>
      </c>
      <c r="AB52" s="27">
        <f t="shared" si="47"/>
        <v>0</v>
      </c>
      <c r="AC52" s="75" t="str">
        <f t="shared" si="48"/>
        <v/>
      </c>
    </row>
    <row r="53" spans="1:29" customFormat="1" ht="12.75" customHeight="1" thickBot="1" x14ac:dyDescent="0.4">
      <c r="A53" s="404" t="s">
        <v>978</v>
      </c>
      <c r="B53" s="468"/>
      <c r="C53" s="469"/>
      <c r="D53" s="470" t="s">
        <v>979</v>
      </c>
      <c r="E53" s="469"/>
      <c r="F53" s="110"/>
      <c r="G53" s="110"/>
      <c r="H53" s="494" t="s">
        <v>993</v>
      </c>
      <c r="I53" s="494" t="s">
        <v>993</v>
      </c>
      <c r="J53" s="494" t="s">
        <v>993</v>
      </c>
      <c r="K53" s="487">
        <v>0</v>
      </c>
      <c r="L53" s="494" t="s">
        <v>993</v>
      </c>
      <c r="M53" s="494" t="s">
        <v>993</v>
      </c>
      <c r="N53" s="494" t="s">
        <v>993</v>
      </c>
      <c r="O53" s="472">
        <v>-5</v>
      </c>
      <c r="P53" s="494" t="s">
        <v>993</v>
      </c>
      <c r="Q53" s="494" t="s">
        <v>993</v>
      </c>
      <c r="R53" s="494" t="s">
        <v>993</v>
      </c>
      <c r="S53" s="487">
        <v>-5</v>
      </c>
      <c r="T53" s="481" t="str">
        <f t="shared" si="42"/>
        <v>zero</v>
      </c>
      <c r="U53" s="107">
        <f t="shared" si="43"/>
        <v>5</v>
      </c>
      <c r="V53" s="43">
        <f t="shared" si="44"/>
        <v>10</v>
      </c>
      <c r="W53" s="45"/>
      <c r="X53" s="90"/>
      <c r="Y53" s="91"/>
      <c r="Z53" s="27">
        <f t="shared" si="45"/>
        <v>0</v>
      </c>
      <c r="AA53" s="27">
        <f t="shared" si="46"/>
        <v>0</v>
      </c>
      <c r="AB53" s="27">
        <f t="shared" si="47"/>
        <v>0</v>
      </c>
      <c r="AC53" s="75" t="str">
        <f t="shared" si="48"/>
        <v/>
      </c>
    </row>
    <row r="54" spans="1:29" customFormat="1" ht="12.75" customHeight="1" thickBot="1" x14ac:dyDescent="0.4">
      <c r="A54" s="404" t="s">
        <v>980</v>
      </c>
      <c r="B54" s="468"/>
      <c r="C54" s="469"/>
      <c r="D54" s="470" t="s">
        <v>981</v>
      </c>
      <c r="E54" s="469"/>
      <c r="F54" s="471"/>
      <c r="G54" s="471"/>
      <c r="H54" s="494" t="s">
        <v>993</v>
      </c>
      <c r="I54" s="494" t="s">
        <v>993</v>
      </c>
      <c r="J54" s="494" t="s">
        <v>993</v>
      </c>
      <c r="K54" s="487">
        <v>10899</v>
      </c>
      <c r="L54" s="494" t="s">
        <v>993</v>
      </c>
      <c r="M54" s="494" t="s">
        <v>993</v>
      </c>
      <c r="N54" s="494" t="s">
        <v>993</v>
      </c>
      <c r="O54" s="472">
        <v>10196</v>
      </c>
      <c r="P54" s="494" t="s">
        <v>993</v>
      </c>
      <c r="Q54" s="494" t="s">
        <v>993</v>
      </c>
      <c r="R54" s="494" t="s">
        <v>993</v>
      </c>
      <c r="S54" s="487">
        <v>10196</v>
      </c>
      <c r="T54" s="481" t="str">
        <f t="shared" si="42"/>
        <v>9</v>
      </c>
      <c r="U54" s="107">
        <f t="shared" si="43"/>
        <v>703</v>
      </c>
      <c r="V54" s="43">
        <f t="shared" si="44"/>
        <v>6.8948607296979214E-2</v>
      </c>
      <c r="W54" s="45"/>
      <c r="X54" s="90"/>
      <c r="Y54" s="91"/>
      <c r="Z54" s="27">
        <f t="shared" si="45"/>
        <v>0</v>
      </c>
      <c r="AA54" s="27">
        <f t="shared" si="46"/>
        <v>0</v>
      </c>
      <c r="AB54" s="27">
        <f t="shared" si="47"/>
        <v>0</v>
      </c>
      <c r="AC54" s="75" t="str">
        <f t="shared" si="48"/>
        <v/>
      </c>
    </row>
    <row r="55" spans="1:29" customFormat="1" ht="12.75" customHeight="1" thickBot="1" x14ac:dyDescent="0.4">
      <c r="A55" s="404" t="s">
        <v>982</v>
      </c>
      <c r="B55" s="468"/>
      <c r="C55" s="469"/>
      <c r="D55" s="470" t="s">
        <v>983</v>
      </c>
      <c r="E55" s="469"/>
      <c r="F55" s="471"/>
      <c r="G55" s="471"/>
      <c r="H55" s="494" t="s">
        <v>993</v>
      </c>
      <c r="I55" s="494" t="s">
        <v>993</v>
      </c>
      <c r="J55" s="494" t="s">
        <v>993</v>
      </c>
      <c r="K55" s="487">
        <v>1017</v>
      </c>
      <c r="L55" s="494" t="s">
        <v>993</v>
      </c>
      <c r="M55" s="494" t="s">
        <v>993</v>
      </c>
      <c r="N55" s="494" t="s">
        <v>993</v>
      </c>
      <c r="O55" s="472">
        <v>1478</v>
      </c>
      <c r="P55" s="494" t="s">
        <v>993</v>
      </c>
      <c r="Q55" s="494" t="s">
        <v>993</v>
      </c>
      <c r="R55" s="494" t="s">
        <v>993</v>
      </c>
      <c r="S55" s="487">
        <v>1478</v>
      </c>
      <c r="T55" s="481" t="str">
        <f t="shared" si="42"/>
        <v>7</v>
      </c>
      <c r="U55" s="107">
        <f t="shared" si="43"/>
        <v>-461</v>
      </c>
      <c r="V55" s="43">
        <f t="shared" si="44"/>
        <v>0.45329400196656833</v>
      </c>
      <c r="W55" s="45"/>
      <c r="X55" s="90"/>
      <c r="Y55" s="91"/>
      <c r="Z55" s="27">
        <f t="shared" si="45"/>
        <v>0</v>
      </c>
      <c r="AA55" s="27">
        <f t="shared" si="46"/>
        <v>0</v>
      </c>
      <c r="AB55" s="27">
        <f t="shared" si="47"/>
        <v>0</v>
      </c>
      <c r="AC55" s="75" t="str">
        <f t="shared" si="48"/>
        <v/>
      </c>
    </row>
    <row r="56" spans="1:29" customFormat="1" ht="12.75" customHeight="1" x14ac:dyDescent="0.35">
      <c r="A56" s="404" t="s">
        <v>984</v>
      </c>
      <c r="B56" s="475"/>
      <c r="C56" s="476" t="s">
        <v>994</v>
      </c>
      <c r="D56" s="495"/>
      <c r="E56" s="495"/>
      <c r="F56" s="496"/>
      <c r="G56" s="496"/>
      <c r="H56" s="497" t="s">
        <v>993</v>
      </c>
      <c r="I56" s="497" t="s">
        <v>993</v>
      </c>
      <c r="J56" s="497" t="s">
        <v>993</v>
      </c>
      <c r="K56" s="488">
        <f>SUM(K49:K55)</f>
        <v>388501</v>
      </c>
      <c r="L56" s="497" t="s">
        <v>993</v>
      </c>
      <c r="M56" s="497" t="s">
        <v>993</v>
      </c>
      <c r="N56" s="497" t="s">
        <v>993</v>
      </c>
      <c r="O56" s="488">
        <f>SUM(O49:O55)</f>
        <v>363255</v>
      </c>
      <c r="P56" s="497" t="s">
        <v>993</v>
      </c>
      <c r="Q56" s="497" t="s">
        <v>993</v>
      </c>
      <c r="R56" s="497" t="s">
        <v>993</v>
      </c>
      <c r="S56" s="490">
        <f>SUM(S49:S55)</f>
        <v>363255</v>
      </c>
      <c r="T56" s="45"/>
      <c r="U56" s="83">
        <f t="shared" si="43"/>
        <v>25246</v>
      </c>
      <c r="V56" s="45">
        <f t="shared" si="44"/>
        <v>6.9499387482622396E-2</v>
      </c>
      <c r="W56" s="45"/>
      <c r="X56" s="108"/>
      <c r="Y56" s="91"/>
    </row>
    <row r="57" spans="1:29" customFormat="1" ht="12.75" customHeight="1" x14ac:dyDescent="0.35">
      <c r="A57" s="404"/>
      <c r="B57" s="98"/>
      <c r="C57" s="469"/>
      <c r="D57" s="469"/>
      <c r="E57" s="469"/>
      <c r="F57" s="111"/>
      <c r="G57" s="111"/>
      <c r="H57" s="112"/>
      <c r="I57" s="112"/>
      <c r="J57" s="112"/>
      <c r="K57" s="498"/>
      <c r="L57" s="112"/>
      <c r="M57" s="112"/>
      <c r="N57" s="112"/>
      <c r="O57" s="498"/>
      <c r="P57" s="112"/>
      <c r="Q57" s="112"/>
      <c r="R57" s="112"/>
      <c r="S57" s="498"/>
      <c r="T57" s="45"/>
    </row>
    <row r="58" spans="1:29" customFormat="1" ht="12.75" customHeight="1" x14ac:dyDescent="0.35">
      <c r="A58" s="404" t="s">
        <v>625</v>
      </c>
      <c r="B58" s="475"/>
      <c r="C58" s="499" t="s">
        <v>995</v>
      </c>
      <c r="D58" s="492"/>
      <c r="E58" s="492"/>
      <c r="F58" s="500"/>
      <c r="G58" s="500"/>
      <c r="H58" s="501" t="s">
        <v>993</v>
      </c>
      <c r="I58" s="501" t="s">
        <v>993</v>
      </c>
      <c r="J58" s="501" t="s">
        <v>993</v>
      </c>
      <c r="K58" s="473">
        <f>SUM(K46+K56)</f>
        <v>524362</v>
      </c>
      <c r="L58" s="501" t="s">
        <v>993</v>
      </c>
      <c r="M58" s="501" t="s">
        <v>993</v>
      </c>
      <c r="N58" s="501" t="s">
        <v>993</v>
      </c>
      <c r="O58" s="473">
        <f>SUM(O46+O56)</f>
        <v>497555</v>
      </c>
      <c r="P58" s="501" t="s">
        <v>993</v>
      </c>
      <c r="Q58" s="501" t="s">
        <v>993</v>
      </c>
      <c r="R58" s="501" t="s">
        <v>993</v>
      </c>
      <c r="S58" s="497">
        <f>SUM(S46+S56)</f>
        <v>497555</v>
      </c>
      <c r="T58" s="45"/>
    </row>
    <row r="59" spans="1:29" customFormat="1" ht="12.75" customHeight="1" thickBot="1" x14ac:dyDescent="0.4">
      <c r="A59" s="404"/>
      <c r="B59" s="482"/>
      <c r="C59" s="483"/>
      <c r="D59" s="204"/>
      <c r="E59" s="204"/>
      <c r="F59" s="204"/>
      <c r="G59" s="204"/>
      <c r="H59" s="113"/>
      <c r="I59" s="113"/>
      <c r="J59" s="113"/>
      <c r="K59" s="498"/>
      <c r="L59" s="113"/>
      <c r="M59" s="113"/>
      <c r="N59" s="113"/>
      <c r="O59" s="498"/>
      <c r="P59" s="113"/>
      <c r="Q59" s="113"/>
      <c r="R59" s="113"/>
      <c r="S59" s="498"/>
      <c r="T59" s="45"/>
    </row>
    <row r="60" spans="1:29" customFormat="1" ht="12.75" customHeight="1" thickBot="1" x14ac:dyDescent="0.4">
      <c r="A60" s="404">
        <v>2</v>
      </c>
      <c r="B60" s="502" t="s">
        <v>996</v>
      </c>
      <c r="C60" s="470"/>
      <c r="D60" s="470"/>
      <c r="E60" s="470"/>
      <c r="F60" s="503"/>
      <c r="G60" s="503"/>
      <c r="H60" s="504" t="s">
        <v>993</v>
      </c>
      <c r="I60" s="504" t="s">
        <v>993</v>
      </c>
      <c r="J60" s="504" t="s">
        <v>993</v>
      </c>
      <c r="K60" s="487">
        <v>7000</v>
      </c>
      <c r="L60" s="504" t="s">
        <v>993</v>
      </c>
      <c r="M60" s="504" t="s">
        <v>993</v>
      </c>
      <c r="N60" s="504" t="s">
        <v>993</v>
      </c>
      <c r="O60" s="487">
        <v>6300</v>
      </c>
      <c r="P60" s="504" t="s">
        <v>993</v>
      </c>
      <c r="Q60" s="504" t="s">
        <v>993</v>
      </c>
      <c r="R60" s="504" t="s">
        <v>993</v>
      </c>
      <c r="S60" s="487">
        <v>6300</v>
      </c>
      <c r="T60" s="481" t="str">
        <f>IF(K60=0,"zero",RIGHT(K60,1))</f>
        <v>0</v>
      </c>
      <c r="U60" s="107">
        <f>K60-O60</f>
        <v>700</v>
      </c>
      <c r="V60" s="43">
        <f>IF(AND(OR(K60=0,O60&lt;&gt;0),OR(O60=0,K60&lt;&gt;0)),IF((K60+O60+U60&lt;&gt;0),IF(AND(OR(K60&gt;0,O60&lt;0),OR(O60&gt;0,K60&lt;0)),ABS(U60/MIN(ABS(O60),ABS(K60))),10),"-"),10)</f>
        <v>0.1111111111111111</v>
      </c>
      <c r="W60" s="45"/>
      <c r="X60" s="90"/>
      <c r="Y60" s="91"/>
      <c r="Z60" s="27">
        <f>IF(AND(U60&gt;750,V60&gt;2),1,0)</f>
        <v>0</v>
      </c>
      <c r="AA60" s="27">
        <f>IF(AND(U60&lt;-750,V60&gt;2),1,0)</f>
        <v>0</v>
      </c>
      <c r="AB60" s="27">
        <f>SUM(Z60:AA60)</f>
        <v>0</v>
      </c>
      <c r="AC60" s="75" t="str">
        <f>IF(AB60&lt;&gt;0,A60&amp;" ("&amp;K60&amp;", "&amp;O60&amp;")"&amp;", ","")</f>
        <v/>
      </c>
    </row>
    <row r="61" spans="1:29" customFormat="1" ht="12.75" customHeight="1" thickBot="1" x14ac:dyDescent="0.4">
      <c r="A61" s="404">
        <v>3</v>
      </c>
      <c r="B61" s="502" t="s">
        <v>997</v>
      </c>
      <c r="C61" s="470"/>
      <c r="D61" s="470"/>
      <c r="E61" s="470"/>
      <c r="F61" s="503"/>
      <c r="G61" s="503"/>
      <c r="H61" s="504" t="s">
        <v>993</v>
      </c>
      <c r="I61" s="504" t="s">
        <v>993</v>
      </c>
      <c r="J61" s="504" t="s">
        <v>993</v>
      </c>
      <c r="K61" s="487">
        <v>0</v>
      </c>
      <c r="L61" s="504" t="s">
        <v>993</v>
      </c>
      <c r="M61" s="504" t="s">
        <v>993</v>
      </c>
      <c r="N61" s="504" t="s">
        <v>993</v>
      </c>
      <c r="O61" s="487">
        <v>0</v>
      </c>
      <c r="P61" s="504" t="s">
        <v>993</v>
      </c>
      <c r="Q61" s="504" t="s">
        <v>993</v>
      </c>
      <c r="R61" s="504" t="s">
        <v>993</v>
      </c>
      <c r="S61" s="487">
        <v>0</v>
      </c>
      <c r="T61" s="481" t="str">
        <f>IF(K61=0,"zero",RIGHT(K61,1))</f>
        <v>zero</v>
      </c>
      <c r="U61" s="107">
        <f>K61-O61</f>
        <v>0</v>
      </c>
      <c r="V61" s="43" t="str">
        <f>IF(AND(OR(K61=0,O61&lt;&gt;0),OR(O61=0,K61&lt;&gt;0)),IF((K61+O61+U61&lt;&gt;0),IF(AND(OR(K61&gt;0,O61&lt;0),OR(O61&gt;0,K61&lt;0)),ABS(U61/MIN(ABS(O61),ABS(K61))),10),"-"),10)</f>
        <v>-</v>
      </c>
      <c r="W61" s="45"/>
      <c r="X61" s="90"/>
      <c r="Y61" s="91"/>
      <c r="Z61" s="27">
        <f>IF(AND(U61&gt;750,V61&gt;2),1,0)</f>
        <v>0</v>
      </c>
      <c r="AA61" s="27">
        <f>IF(AND(U61&lt;-750,V61&gt;2),1,0)</f>
        <v>0</v>
      </c>
      <c r="AB61" s="27">
        <f>SUM(Z61:AA61)</f>
        <v>0</v>
      </c>
      <c r="AC61" s="75" t="str">
        <f>IF(AB61&lt;&gt;0,A61&amp;" ("&amp;K61&amp;", "&amp;O61&amp;")"&amp;", ","")</f>
        <v/>
      </c>
    </row>
    <row r="62" spans="1:29" customFormat="1" ht="12.75" customHeight="1" thickBot="1" x14ac:dyDescent="0.4">
      <c r="A62" s="404">
        <v>4</v>
      </c>
      <c r="B62" s="459" t="s">
        <v>998</v>
      </c>
      <c r="C62" s="460"/>
      <c r="D62" s="460"/>
      <c r="E62" s="460"/>
      <c r="F62" s="461"/>
      <c r="G62" s="461"/>
      <c r="H62" s="505"/>
      <c r="I62" s="505"/>
      <c r="J62" s="505"/>
      <c r="K62" s="505"/>
      <c r="L62" s="505"/>
      <c r="M62" s="505"/>
      <c r="N62" s="505"/>
      <c r="O62" s="505"/>
      <c r="P62" s="505"/>
      <c r="Q62" s="505"/>
      <c r="R62" s="505"/>
      <c r="S62" s="505"/>
      <c r="T62" s="45"/>
    </row>
    <row r="63" spans="1:29" customFormat="1" ht="12.75" customHeight="1" thickBot="1" x14ac:dyDescent="0.4">
      <c r="A63" s="404" t="s">
        <v>770</v>
      </c>
      <c r="B63" s="506"/>
      <c r="C63" s="470" t="s">
        <v>999</v>
      </c>
      <c r="D63" s="469"/>
      <c r="E63" s="469"/>
      <c r="F63" s="471"/>
      <c r="G63" s="471"/>
      <c r="H63" s="504" t="s">
        <v>993</v>
      </c>
      <c r="I63" s="504" t="s">
        <v>993</v>
      </c>
      <c r="J63" s="504" t="s">
        <v>993</v>
      </c>
      <c r="K63" s="487">
        <v>0</v>
      </c>
      <c r="L63" s="504" t="s">
        <v>993</v>
      </c>
      <c r="M63" s="504" t="s">
        <v>993</v>
      </c>
      <c r="N63" s="504" t="s">
        <v>993</v>
      </c>
      <c r="O63" s="487">
        <v>0</v>
      </c>
      <c r="P63" s="504" t="s">
        <v>993</v>
      </c>
      <c r="Q63" s="504" t="s">
        <v>993</v>
      </c>
      <c r="R63" s="504" t="s">
        <v>993</v>
      </c>
      <c r="S63" s="487">
        <v>0</v>
      </c>
      <c r="T63" s="481" t="str">
        <f>IF(K63=0,"zero",RIGHT(K63,1))</f>
        <v>zero</v>
      </c>
      <c r="U63" s="107">
        <f>K63-O63</f>
        <v>0</v>
      </c>
      <c r="V63" s="43" t="str">
        <f>IF(AND(OR(K63=0,O63&lt;&gt;0),OR(O63=0,K63&lt;&gt;0)),IF((K63+O63+U63&lt;&gt;0),IF(AND(OR(K63&gt;0,O63&lt;0),OR(O63&gt;0,K63&lt;0)),ABS(U63/MIN(ABS(O63),ABS(K63))),10),"-"),10)</f>
        <v>-</v>
      </c>
      <c r="W63" s="45"/>
      <c r="X63" s="90"/>
      <c r="Y63" s="91"/>
      <c r="Z63" s="27">
        <f>IF(AND(U63&gt;750,V63&gt;2),1,0)</f>
        <v>0</v>
      </c>
      <c r="AA63" s="27">
        <f>IF(AND(U63&lt;-750,V63&gt;2),1,0)</f>
        <v>0</v>
      </c>
      <c r="AB63" s="27">
        <f>SUM(Z63:AA63)</f>
        <v>0</v>
      </c>
      <c r="AC63" s="75" t="str">
        <f>IF(AB63&lt;&gt;0,A63&amp;" ("&amp;K63&amp;", "&amp;O63&amp;")"&amp;", ","")</f>
        <v/>
      </c>
    </row>
    <row r="64" spans="1:29" customFormat="1" ht="12.75" customHeight="1" thickBot="1" x14ac:dyDescent="0.4">
      <c r="A64" s="404" t="s">
        <v>1000</v>
      </c>
      <c r="B64" s="506"/>
      <c r="C64" s="470" t="s">
        <v>1001</v>
      </c>
      <c r="D64" s="469"/>
      <c r="E64" s="469"/>
      <c r="F64" s="471"/>
      <c r="G64" s="471"/>
      <c r="H64" s="504" t="s">
        <v>993</v>
      </c>
      <c r="I64" s="504" t="s">
        <v>993</v>
      </c>
      <c r="J64" s="504" t="s">
        <v>993</v>
      </c>
      <c r="K64" s="487">
        <v>25100</v>
      </c>
      <c r="L64" s="504" t="s">
        <v>993</v>
      </c>
      <c r="M64" s="504" t="s">
        <v>993</v>
      </c>
      <c r="N64" s="504" t="s">
        <v>993</v>
      </c>
      <c r="O64" s="487">
        <v>23300</v>
      </c>
      <c r="P64" s="504" t="s">
        <v>993</v>
      </c>
      <c r="Q64" s="504" t="s">
        <v>993</v>
      </c>
      <c r="R64" s="504" t="s">
        <v>993</v>
      </c>
      <c r="S64" s="487">
        <v>23300</v>
      </c>
      <c r="T64" s="481" t="str">
        <f>IF(K64=0,"zero",RIGHT(K64,1))</f>
        <v>0</v>
      </c>
      <c r="U64" s="107">
        <f>K64-O64</f>
        <v>1800</v>
      </c>
      <c r="V64" s="43">
        <f>IF(AND(OR(K64=0,O64&lt;&gt;0),OR(O64=0,K64&lt;&gt;0)),IF((K64+O64+U64&lt;&gt;0),IF(AND(OR(K64&gt;0,O64&lt;0),OR(O64&gt;0,K64&lt;0)),ABS(U64/MIN(ABS(O64),ABS(K64))),10),"-"),10)</f>
        <v>7.7253218884120178E-2</v>
      </c>
      <c r="W64" s="45"/>
      <c r="X64" s="90"/>
      <c r="Y64" s="91"/>
      <c r="Z64" s="27">
        <f>IF(AND(U64&gt;750,V64&gt;2),1,0)</f>
        <v>0</v>
      </c>
      <c r="AA64" s="27">
        <f>IF(AND(U64&lt;-750,V64&gt;2),1,0)</f>
        <v>0</v>
      </c>
      <c r="AB64" s="27">
        <f>SUM(Z64:AA64)</f>
        <v>0</v>
      </c>
      <c r="AC64" s="75" t="str">
        <f>IF(AB64&lt;&gt;0,A64&amp;" ("&amp;K64&amp;", "&amp;O64&amp;")"&amp;", ","")</f>
        <v/>
      </c>
    </row>
    <row r="65" spans="1:19" customFormat="1" ht="12.75" customHeight="1" x14ac:dyDescent="0.35">
      <c r="A65" s="404" t="s">
        <v>1002</v>
      </c>
      <c r="B65" s="329" t="s">
        <v>1003</v>
      </c>
      <c r="C65" s="336"/>
      <c r="D65" s="336"/>
      <c r="E65" s="336"/>
      <c r="F65" s="507"/>
      <c r="G65" s="507"/>
      <c r="H65" s="501" t="s">
        <v>993</v>
      </c>
      <c r="I65" s="501" t="s">
        <v>993</v>
      </c>
      <c r="J65" s="501" t="s">
        <v>993</v>
      </c>
      <c r="K65" s="473">
        <f>SUM(K63:K64)</f>
        <v>25100</v>
      </c>
      <c r="L65" s="501" t="s">
        <v>993</v>
      </c>
      <c r="M65" s="501" t="s">
        <v>993</v>
      </c>
      <c r="N65" s="501" t="s">
        <v>993</v>
      </c>
      <c r="O65" s="473">
        <f>SUM(O63:O64)</f>
        <v>23300</v>
      </c>
      <c r="P65" s="501" t="s">
        <v>993</v>
      </c>
      <c r="Q65" s="501" t="s">
        <v>993</v>
      </c>
      <c r="R65" s="501" t="s">
        <v>993</v>
      </c>
      <c r="S65" s="497">
        <f>SUM(S63:S64)</f>
        <v>23300</v>
      </c>
    </row>
    <row r="66" spans="1:19" customFormat="1" ht="12.75" customHeight="1" x14ac:dyDescent="0.35">
      <c r="A66" s="404"/>
      <c r="B66" s="508"/>
      <c r="C66" s="509"/>
      <c r="D66" s="509"/>
      <c r="E66" s="509"/>
      <c r="F66" s="510"/>
      <c r="G66" s="510"/>
      <c r="H66" s="511"/>
      <c r="I66" s="511"/>
      <c r="J66" s="511"/>
      <c r="K66" s="511"/>
      <c r="L66" s="511"/>
      <c r="M66" s="511"/>
      <c r="N66" s="511"/>
      <c r="O66" s="511"/>
      <c r="P66" s="511"/>
      <c r="Q66" s="511"/>
      <c r="R66" s="511"/>
      <c r="S66" s="511"/>
    </row>
    <row r="67" spans="1:19" customFormat="1" ht="12.75" customHeight="1" x14ac:dyDescent="0.35">
      <c r="A67" s="404">
        <v>5</v>
      </c>
      <c r="B67" s="512" t="s">
        <v>1004</v>
      </c>
      <c r="C67" s="492"/>
      <c r="D67" s="492"/>
      <c r="E67" s="492"/>
      <c r="F67" s="500"/>
      <c r="G67" s="500"/>
      <c r="H67" s="501" t="s">
        <v>993</v>
      </c>
      <c r="I67" s="501" t="s">
        <v>993</v>
      </c>
      <c r="J67" s="501" t="s">
        <v>993</v>
      </c>
      <c r="K67" s="473">
        <f>SUM(K58,K60,K61,K65)</f>
        <v>556462</v>
      </c>
      <c r="L67" s="501" t="s">
        <v>993</v>
      </c>
      <c r="M67" s="501" t="s">
        <v>993</v>
      </c>
      <c r="N67" s="501" t="s">
        <v>993</v>
      </c>
      <c r="O67" s="473">
        <f>SUM(O58,O60,O61,O65)</f>
        <v>527155</v>
      </c>
      <c r="P67" s="501" t="s">
        <v>993</v>
      </c>
      <c r="Q67" s="501" t="s">
        <v>993</v>
      </c>
      <c r="R67" s="501" t="s">
        <v>993</v>
      </c>
      <c r="S67" s="497">
        <f>SUM(S58,S60,S61,S65)</f>
        <v>527155</v>
      </c>
    </row>
    <row r="68" spans="1:19" customFormat="1" ht="12.75" customHeight="1" x14ac:dyDescent="0.35">
      <c r="A68" s="404"/>
      <c r="B68" s="482"/>
      <c r="C68" s="483"/>
      <c r="D68" s="204"/>
      <c r="E68" s="204"/>
      <c r="F68" s="204"/>
      <c r="G68" s="204"/>
      <c r="H68" s="113"/>
      <c r="I68" s="113"/>
      <c r="J68" s="113"/>
      <c r="K68" s="498"/>
      <c r="L68" s="113"/>
      <c r="M68" s="113"/>
      <c r="N68" s="113"/>
      <c r="O68" s="498"/>
      <c r="P68" s="113"/>
      <c r="Q68" s="113"/>
      <c r="R68" s="113"/>
      <c r="S68" s="498"/>
    </row>
    <row r="69" spans="1:19" customFormat="1" ht="12.75" customHeight="1" x14ac:dyDescent="0.35">
      <c r="A69" s="404">
        <v>6</v>
      </c>
      <c r="B69" s="459" t="s">
        <v>968</v>
      </c>
      <c r="C69" s="460"/>
      <c r="D69" s="460"/>
      <c r="E69" s="460"/>
      <c r="F69" s="461"/>
      <c r="G69" s="461"/>
      <c r="H69" s="486"/>
      <c r="I69" s="486"/>
      <c r="J69" s="486"/>
      <c r="K69" s="486"/>
      <c r="L69" s="486"/>
      <c r="M69" s="486"/>
      <c r="N69" s="486"/>
      <c r="O69" s="486"/>
      <c r="P69" s="486"/>
      <c r="Q69" s="486"/>
      <c r="R69" s="486"/>
      <c r="S69" s="486"/>
    </row>
    <row r="70" spans="1:19" customFormat="1" ht="12.75" customHeight="1" x14ac:dyDescent="0.35">
      <c r="A70" s="404" t="s">
        <v>136</v>
      </c>
      <c r="B70" s="492"/>
      <c r="C70" s="492" t="s">
        <v>1005</v>
      </c>
      <c r="D70" s="495"/>
      <c r="E70" s="495"/>
      <c r="F70" s="513"/>
      <c r="G70" s="513"/>
      <c r="H70" s="501" t="s">
        <v>993</v>
      </c>
      <c r="I70" s="501" t="s">
        <v>993</v>
      </c>
      <c r="J70" s="501" t="s">
        <v>993</v>
      </c>
      <c r="K70" s="11">
        <v>3143</v>
      </c>
      <c r="L70" s="501" t="s">
        <v>993</v>
      </c>
      <c r="M70" s="501" t="s">
        <v>993</v>
      </c>
      <c r="N70" s="501" t="s">
        <v>993</v>
      </c>
      <c r="O70" s="11">
        <v>3306</v>
      </c>
      <c r="P70" s="501" t="s">
        <v>993</v>
      </c>
      <c r="Q70" s="501" t="s">
        <v>993</v>
      </c>
      <c r="R70" s="501" t="s">
        <v>993</v>
      </c>
      <c r="S70" s="12">
        <v>3306</v>
      </c>
    </row>
    <row r="71" spans="1:19" customFormat="1" ht="12.75" customHeight="1" x14ac:dyDescent="0.35">
      <c r="A71" s="404" t="s">
        <v>1006</v>
      </c>
      <c r="B71" s="492"/>
      <c r="C71" s="492" t="s">
        <v>1007</v>
      </c>
      <c r="D71" s="495"/>
      <c r="E71" s="495"/>
      <c r="F71" s="513"/>
      <c r="G71" s="513"/>
      <c r="H71" s="501" t="s">
        <v>993</v>
      </c>
      <c r="I71" s="501" t="s">
        <v>993</v>
      </c>
      <c r="J71" s="501" t="s">
        <v>993</v>
      </c>
      <c r="K71" s="11">
        <v>17631</v>
      </c>
      <c r="L71" s="501" t="s">
        <v>993</v>
      </c>
      <c r="M71" s="501" t="s">
        <v>993</v>
      </c>
      <c r="N71" s="501" t="s">
        <v>993</v>
      </c>
      <c r="O71" s="11">
        <v>11364</v>
      </c>
      <c r="P71" s="501" t="s">
        <v>993</v>
      </c>
      <c r="Q71" s="501" t="s">
        <v>993</v>
      </c>
      <c r="R71" s="501" t="s">
        <v>993</v>
      </c>
      <c r="S71" s="11">
        <v>11364</v>
      </c>
    </row>
    <row r="74" spans="1:19" customFormat="1" ht="12.75" customHeight="1" x14ac:dyDescent="0.35"/>
  </sheetData>
  <sheetProtection algorithmName="SHA-512" hashValue="+ex0OLPFXbSqTd4IIqbls+UO1iGeXRcnPy+cA0tRZT2riJ2Q0VonM6yK6tcr/CSg3dfDydxPJvC37wRlWCvccg==" saltValue="mjr3X53var37EZjC1QeZdQ==" spinCount="100000" sheet="1" objects="1"/>
  <mergeCells count="12">
    <mergeCell ref="B1:F1"/>
    <mergeCell ref="H1:K1"/>
    <mergeCell ref="L1:O1"/>
    <mergeCell ref="P1:S1"/>
    <mergeCell ref="L2:O2"/>
    <mergeCell ref="P2:S2"/>
    <mergeCell ref="H3:K3"/>
    <mergeCell ref="L3:O3"/>
    <mergeCell ref="P3:S3"/>
    <mergeCell ref="H4:K4"/>
    <mergeCell ref="L4:O4"/>
    <mergeCell ref="P4:S4"/>
  </mergeCells>
  <conditionalFormatting sqref="X9:Y15">
    <cfRule type="expression" dxfId="14" priority="1">
      <formula>AND(OR((V9)&gt;2,(V9)&lt;-2),(V9)&lt;&gt;"-",OR((U9)&gt;750,(U9)&lt;-750))</formula>
    </cfRule>
  </conditionalFormatting>
  <conditionalFormatting sqref="X18:Y24">
    <cfRule type="expression" dxfId="13" priority="2">
      <formula>AND(OR((V18)&gt;2,(V18)&lt;-2),(V18)&lt;&gt;"-",OR((U18)&gt;750,(U18)&lt;-750))</formula>
    </cfRule>
  </conditionalFormatting>
  <conditionalFormatting sqref="X37:Y43">
    <cfRule type="expression" dxfId="12" priority="3">
      <formula>AND(OR((V37)&gt;2,(V37)&lt;-2),(V37)&lt;&gt;"-",OR((U37)&gt;750,(U37)&lt;-750))</formula>
    </cfRule>
  </conditionalFormatting>
  <conditionalFormatting sqref="X49:Y55">
    <cfRule type="expression" dxfId="11" priority="4">
      <formula>AND(OR((V49)&gt;2,(V49)&lt;-2),(V49)&lt;&gt;"-",OR((U49)&gt;750,(U49)&lt;-750))</formula>
    </cfRule>
  </conditionalFormatting>
  <conditionalFormatting sqref="X60:Y61">
    <cfRule type="expression" dxfId="10" priority="5">
      <formula>AND(OR((V60)&gt;2,(V60)&lt;-2),(V60)&lt;&gt;"-",OR((U60)&gt;750,(U60)&lt;-750))</formula>
    </cfRule>
  </conditionalFormatting>
  <conditionalFormatting sqref="X63:Y64">
    <cfRule type="expression" dxfId="9" priority="6">
      <formula>AND(OR((V63)&gt;2,(V63)&lt;-2),(V63)&lt;&gt;"-",OR((U63)&gt;750,(U63)&lt;-750))</formula>
    </cfRule>
  </conditionalFormatting>
  <dataValidations count="2">
    <dataValidation operator="greaterThan" allowBlank="1" showInputMessage="1" showErrorMessage="1" sqref="H65510:S65515 H65519:S65527 H65531:S65539 H65542:S65550 H131046:S131051 H131055:S131063 H131067:S131075 H131078:S131086 H196582:S196587 H196591:S196599 H196603:S196611 H196614:S196622 H262118:S262123 H262127:S262135 H262139:S262147 H262150:S262158 H327654:S327659 H327663:S327671 H327675:S327683 H327686:S327694 H393190:S393195 H393199:S393207 H393211:S393219 H393222:S393230 H458726:S458731 H458735:S458743 H458747:S458755 H458758:S458766 H524262:S524267 H524271:S524279 H524283:S524291 H524294:S524302 H589798:S589803 H589807:S589815 H589819:S589827 H589830:S589838 H655334:S655339 H655343:S655351 H655355:S655363 H655366:S655374 H720870:S720875 H720879:S720887 H720891:S720899 H720902:S720910 H786406:S786411 H786415:S786423 H786427:S786435 H786438:S786446 H851942:S851947 H851951:S851959 H851963:S851971 H851974:S851982 H917478:S917483 H917487:S917495 H917499:S917507 H917510:S917518 H983014:S983019 H983023:S983031 H983035:S983043 H983046:S983054" xr:uid="{00000000-0002-0000-0900-000000000000}"/>
    <dataValidation type="whole" operator="greaterThan" allowBlank="1" showInputMessage="1" showErrorMessage="1" errorTitle="Whole numbers only allowed" error="All monies should be independently rounded to the nearest £1,000." sqref="H9:J15 L9:N15 P9:R15 H18:J24 L18:N24 P18:R24 H37:J43 L37:N43 P37:R43 H49:R55 K60:K61 O60:O61 S60:S61 K63:K64 O63:O64 S63:S64 K71 O71 S71" xr:uid="{00000000-0002-0000-0900-000001000000}">
      <formula1>-999999999</formula1>
    </dataValidation>
  </dataValidations>
  <printOptions headings="1" gridLines="1"/>
  <pageMargins left="0.31496062992125984" right="0.31496062992125984"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F71730-010F-4628-8DAE-C78117044905}">
          <x14:formula1>
            <xm:f>'Hide_me(drop_downs)'!$A$6:$A$10</xm:f>
          </x14:formula1>
          <xm:sqref>X63:Y64 X9:Y15 X18:Y24 X49:Y55 X37:Y43 X60:Y61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P70"/>
  <sheetViews>
    <sheetView zoomScale="90" zoomScaleNormal="90" workbookViewId="0">
      <pane ySplit="4" topLeftCell="A17" activePane="bottomLeft" state="frozenSplit"/>
      <selection activeCell="P23" sqref="P23 P23:Q23"/>
      <selection pane="bottomLeft" activeCell="H44" sqref="H44"/>
    </sheetView>
  </sheetViews>
  <sheetFormatPr defaultColWidth="9.81640625" defaultRowHeight="14.5" x14ac:dyDescent="0.35"/>
  <cols>
    <col min="1" max="1" width="10" style="114" bestFit="1" customWidth="1"/>
    <col min="2" max="3" width="2.81640625" style="25" customWidth="1"/>
    <col min="4" max="4" width="92" style="25" customWidth="1"/>
    <col min="5" max="6" width="2.1796875" style="25" hidden="1" customWidth="1"/>
    <col min="7" max="7" width="2.453125" style="25" hidden="1" customWidth="1"/>
    <col min="8" max="8" width="16.54296875" style="25" customWidth="1"/>
    <col min="9" max="9" width="18.81640625" style="25" hidden="1" customWidth="1"/>
    <col min="10" max="10" width="28.81640625" style="25" hidden="1" customWidth="1"/>
    <col min="11" max="11" width="17.81640625" style="25" hidden="1" customWidth="1"/>
    <col min="12" max="12" width="54.81640625" style="25" hidden="1" customWidth="1"/>
    <col min="13" max="15" width="9.81640625" style="25" customWidth="1"/>
    <col min="16" max="16" width="9.81640625" customWidth="1"/>
    <col min="17" max="17" width="9.81640625" style="25" customWidth="1"/>
    <col min="18" max="16384" width="9.81640625" style="25"/>
  </cols>
  <sheetData>
    <row r="1" spans="1:12" customFormat="1" ht="22.5" customHeight="1" x14ac:dyDescent="0.35">
      <c r="A1" s="450" t="s">
        <v>1008</v>
      </c>
      <c r="B1" s="514" t="s">
        <v>1009</v>
      </c>
      <c r="C1" s="514"/>
      <c r="D1" s="514"/>
      <c r="E1" s="515"/>
      <c r="F1" s="515"/>
      <c r="G1" s="515"/>
      <c r="H1" s="345"/>
      <c r="I1" s="516" t="s">
        <v>599</v>
      </c>
      <c r="J1" s="15" t="s">
        <v>599</v>
      </c>
    </row>
    <row r="2" spans="1:12" customFormat="1" ht="12.75" customHeight="1" x14ac:dyDescent="0.35">
      <c r="A2" s="517"/>
      <c r="B2" s="518"/>
      <c r="C2" s="518"/>
      <c r="D2" s="518"/>
      <c r="E2" s="518"/>
      <c r="F2" s="518"/>
      <c r="G2" s="518"/>
      <c r="H2" s="393"/>
      <c r="I2" s="519" t="s">
        <v>600</v>
      </c>
      <c r="J2" s="16" t="s">
        <v>601</v>
      </c>
    </row>
    <row r="3" spans="1:12" customFormat="1" ht="35.25" customHeight="1" x14ac:dyDescent="0.35">
      <c r="A3" s="517"/>
      <c r="B3" s="518"/>
      <c r="C3" s="518"/>
      <c r="D3" s="518"/>
      <c r="E3" s="518"/>
      <c r="F3" s="518"/>
      <c r="G3" s="518"/>
      <c r="H3" s="287" t="str">
        <f>'Hide_me(drop_downs)'!I1</f>
        <v>Year ended 31 July 2025</v>
      </c>
      <c r="I3" s="520" t="str">
        <f>'Hide_me(drop_downs)'!J1</f>
        <v>Year ended 31 July 2024</v>
      </c>
      <c r="J3" s="115" t="str">
        <f>'Hide_me(drop_downs)'!J1</f>
        <v>Year ended 31 July 2024</v>
      </c>
      <c r="L3" s="116" t="s">
        <v>606</v>
      </c>
    </row>
    <row r="4" spans="1:12" customFormat="1" ht="15" customHeight="1" x14ac:dyDescent="0.35">
      <c r="A4" s="517"/>
      <c r="B4" s="521"/>
      <c r="C4" s="521"/>
      <c r="D4" s="521"/>
      <c r="E4" s="521"/>
      <c r="F4" s="521"/>
      <c r="G4" s="521"/>
      <c r="H4" s="397" t="s">
        <v>607</v>
      </c>
      <c r="I4" s="522" t="s">
        <v>607</v>
      </c>
      <c r="J4" s="117" t="s">
        <v>607</v>
      </c>
    </row>
    <row r="5" spans="1:12" customFormat="1" ht="12.75" customHeight="1" x14ac:dyDescent="0.35">
      <c r="A5" s="404">
        <v>1</v>
      </c>
      <c r="B5" s="98" t="s">
        <v>614</v>
      </c>
      <c r="C5" s="469"/>
      <c r="D5" s="469"/>
      <c r="E5" s="469"/>
      <c r="F5" s="469"/>
      <c r="G5" s="99"/>
      <c r="H5" s="21">
        <f>Table_5_UK!K67</f>
        <v>556462</v>
      </c>
      <c r="I5" s="523">
        <v>0</v>
      </c>
      <c r="J5" s="523">
        <v>0</v>
      </c>
    </row>
    <row r="6" spans="1:12" customFormat="1" ht="12.75" customHeight="1" x14ac:dyDescent="0.35">
      <c r="A6" s="404"/>
      <c r="B6" s="98"/>
      <c r="C6" s="469"/>
      <c r="D6" s="469"/>
      <c r="E6" s="469"/>
      <c r="F6" s="469"/>
      <c r="G6" s="99"/>
      <c r="H6" s="21"/>
      <c r="I6" s="21"/>
      <c r="J6" s="21"/>
    </row>
    <row r="7" spans="1:12" customFormat="1" ht="12.75" customHeight="1" x14ac:dyDescent="0.35">
      <c r="A7" s="404">
        <v>2</v>
      </c>
      <c r="B7" s="508" t="s">
        <v>616</v>
      </c>
      <c r="C7" s="509"/>
      <c r="D7" s="509"/>
      <c r="E7" s="509"/>
      <c r="F7" s="509"/>
      <c r="G7" s="510"/>
      <c r="H7" s="14">
        <f>IF(Title_Page!B4="W",Table_6_Wales!H15,IF(Title_Page!B4="S",Table_6_Scotland!H14,IF(Title_Page!B4="N",Table_6_N_Ireland!H11,0)))</f>
        <v>206796</v>
      </c>
      <c r="I7" s="523">
        <v>0</v>
      </c>
      <c r="J7" s="523">
        <v>0</v>
      </c>
    </row>
    <row r="8" spans="1:12" customFormat="1" ht="12.75" customHeight="1" x14ac:dyDescent="0.35">
      <c r="A8" s="404"/>
      <c r="B8" s="508"/>
      <c r="C8" s="509"/>
      <c r="D8" s="509"/>
      <c r="E8" s="509"/>
      <c r="F8" s="509"/>
      <c r="G8" s="510"/>
      <c r="H8" s="524"/>
      <c r="I8" s="524"/>
      <c r="J8" s="524"/>
    </row>
    <row r="9" spans="1:12" customFormat="1" ht="12.75" customHeight="1" x14ac:dyDescent="0.35">
      <c r="A9" s="404">
        <v>3</v>
      </c>
      <c r="B9" s="459" t="s">
        <v>618</v>
      </c>
      <c r="C9" s="460"/>
      <c r="D9" s="460"/>
      <c r="E9" s="460"/>
      <c r="F9" s="460"/>
      <c r="G9" s="461"/>
      <c r="H9" s="467"/>
      <c r="I9" s="467"/>
      <c r="J9" s="467"/>
    </row>
    <row r="10" spans="1:12" customFormat="1" ht="12.75" customHeight="1" x14ac:dyDescent="0.35">
      <c r="A10" s="404" t="s">
        <v>123</v>
      </c>
      <c r="B10" s="506"/>
      <c r="C10" s="470" t="s">
        <v>124</v>
      </c>
      <c r="D10" s="525"/>
      <c r="E10" s="525"/>
      <c r="F10" s="525"/>
      <c r="G10" s="526"/>
      <c r="H10" s="118"/>
      <c r="I10" s="118"/>
      <c r="J10" s="118"/>
    </row>
    <row r="11" spans="1:12" customFormat="1" ht="12.75" customHeight="1" x14ac:dyDescent="0.35">
      <c r="A11" s="404" t="s">
        <v>970</v>
      </c>
      <c r="B11" s="468"/>
      <c r="C11" s="469"/>
      <c r="D11" s="470" t="s">
        <v>1010</v>
      </c>
      <c r="E11" s="469"/>
      <c r="F11" s="469"/>
      <c r="G11" s="471"/>
      <c r="H11" s="21">
        <f>Table_4_UK!H61</f>
        <v>22685</v>
      </c>
      <c r="I11" s="523">
        <v>0</v>
      </c>
      <c r="J11" s="523">
        <v>0</v>
      </c>
    </row>
    <row r="12" spans="1:12" customFormat="1" ht="12.75" customHeight="1" x14ac:dyDescent="0.35">
      <c r="A12" s="404" t="s">
        <v>972</v>
      </c>
      <c r="B12" s="468"/>
      <c r="C12" s="469"/>
      <c r="D12" s="470" t="s">
        <v>1011</v>
      </c>
      <c r="E12" s="469"/>
      <c r="F12" s="469"/>
      <c r="G12" s="471"/>
      <c r="H12" s="21">
        <f>Table_4_UK!I61</f>
        <v>43081</v>
      </c>
      <c r="I12" s="523">
        <v>0</v>
      </c>
      <c r="J12" s="523">
        <v>0</v>
      </c>
    </row>
    <row r="13" spans="1:12" customFormat="1" ht="12.75" customHeight="1" x14ac:dyDescent="0.35">
      <c r="A13" s="404" t="s">
        <v>974</v>
      </c>
      <c r="B13" s="468"/>
      <c r="C13" s="469"/>
      <c r="D13" s="470" t="s">
        <v>1012</v>
      </c>
      <c r="E13" s="469"/>
      <c r="F13" s="469"/>
      <c r="G13" s="471"/>
      <c r="H13" s="21">
        <f>Table_4_UK!J61</f>
        <v>9741</v>
      </c>
      <c r="I13" s="523">
        <v>0</v>
      </c>
      <c r="J13" s="523">
        <v>0</v>
      </c>
    </row>
    <row r="14" spans="1:12" customFormat="1" ht="12.75" customHeight="1" x14ac:dyDescent="0.35">
      <c r="A14" s="404" t="s">
        <v>976</v>
      </c>
      <c r="B14" s="468"/>
      <c r="C14" s="469"/>
      <c r="D14" s="470" t="s">
        <v>1013</v>
      </c>
      <c r="E14" s="469"/>
      <c r="F14" s="469"/>
      <c r="G14" s="471"/>
      <c r="H14" s="21">
        <f>Table_4_UK!K61</f>
        <v>33660</v>
      </c>
      <c r="I14" s="523">
        <v>0</v>
      </c>
      <c r="J14" s="523">
        <v>0</v>
      </c>
    </row>
    <row r="15" spans="1:12" customFormat="1" ht="12.75" customHeight="1" x14ac:dyDescent="0.35">
      <c r="A15" s="404" t="s">
        <v>978</v>
      </c>
      <c r="B15" s="468"/>
      <c r="C15" s="469"/>
      <c r="D15" s="470" t="s">
        <v>1014</v>
      </c>
      <c r="E15" s="469"/>
      <c r="F15" s="469"/>
      <c r="G15" s="471"/>
      <c r="H15" s="21">
        <f>Table_4_UK!L61</f>
        <v>11427</v>
      </c>
      <c r="I15" s="523">
        <v>0</v>
      </c>
      <c r="J15" s="523">
        <v>0</v>
      </c>
    </row>
    <row r="16" spans="1:12" customFormat="1" ht="12.75" customHeight="1" x14ac:dyDescent="0.35">
      <c r="A16" s="404" t="s">
        <v>980</v>
      </c>
      <c r="B16" s="468"/>
      <c r="C16" s="469"/>
      <c r="D16" s="470" t="s">
        <v>1015</v>
      </c>
      <c r="E16" s="469"/>
      <c r="F16" s="469"/>
      <c r="G16" s="471"/>
      <c r="H16" s="21">
        <f>Table_4_UK!M61</f>
        <v>6823</v>
      </c>
      <c r="I16" s="523">
        <v>0</v>
      </c>
      <c r="J16" s="523">
        <v>0</v>
      </c>
    </row>
    <row r="17" spans="1:16" customFormat="1" ht="12.75" customHeight="1" x14ac:dyDescent="0.35">
      <c r="A17" s="404" t="s">
        <v>982</v>
      </c>
      <c r="B17" s="468"/>
      <c r="C17" s="469"/>
      <c r="D17" s="470" t="s">
        <v>1016</v>
      </c>
      <c r="E17" s="469"/>
      <c r="F17" s="469"/>
      <c r="G17" s="471"/>
      <c r="H17" s="21">
        <f>Table_4_UK!N61</f>
        <v>16305</v>
      </c>
      <c r="I17" s="523">
        <v>0</v>
      </c>
      <c r="J17" s="523">
        <v>0</v>
      </c>
    </row>
    <row r="18" spans="1:16" customFormat="1" ht="12.75" customHeight="1" x14ac:dyDescent="0.35">
      <c r="A18" s="404" t="s">
        <v>984</v>
      </c>
      <c r="B18" s="468"/>
      <c r="C18" s="469"/>
      <c r="D18" s="470" t="s">
        <v>1017</v>
      </c>
      <c r="E18" s="469"/>
      <c r="F18" s="469"/>
      <c r="G18" s="471"/>
      <c r="H18" s="21">
        <f>Table_4_UK!O61</f>
        <v>26540</v>
      </c>
      <c r="I18" s="523">
        <v>0</v>
      </c>
      <c r="J18" s="523">
        <v>0</v>
      </c>
    </row>
    <row r="19" spans="1:16" customFormat="1" ht="12.75" customHeight="1" x14ac:dyDescent="0.35">
      <c r="A19" s="404" t="s">
        <v>1018</v>
      </c>
      <c r="B19" s="527"/>
      <c r="C19" s="528"/>
      <c r="D19" s="529" t="s">
        <v>110</v>
      </c>
      <c r="E19" s="528"/>
      <c r="F19" s="528"/>
      <c r="G19" s="530"/>
      <c r="H19" s="21">
        <f>Table_4_UK!P61</f>
        <v>9585</v>
      </c>
      <c r="I19" s="523">
        <v>0</v>
      </c>
      <c r="J19" s="523">
        <v>0</v>
      </c>
    </row>
    <row r="20" spans="1:16" customFormat="1" ht="13" customHeight="1" x14ac:dyDescent="0.35">
      <c r="A20" s="404" t="s">
        <v>1019</v>
      </c>
      <c r="B20" s="475"/>
      <c r="C20" s="476" t="s">
        <v>138</v>
      </c>
      <c r="D20" s="531"/>
      <c r="E20" s="531"/>
      <c r="F20" s="531"/>
      <c r="G20" s="532"/>
      <c r="H20" s="488">
        <f>SUM(H11:H19)</f>
        <v>179847</v>
      </c>
      <c r="I20" s="533">
        <f>SUM(I11:I19)</f>
        <v>0</v>
      </c>
      <c r="J20" s="533">
        <f>SUM(J11:J19)</f>
        <v>0</v>
      </c>
    </row>
    <row r="21" spans="1:16" customFormat="1" ht="12.75" customHeight="1" x14ac:dyDescent="0.35">
      <c r="A21" s="404" t="s">
        <v>709</v>
      </c>
      <c r="B21" s="506"/>
      <c r="C21" s="470" t="s">
        <v>859</v>
      </c>
      <c r="D21" s="534"/>
      <c r="E21" s="534"/>
      <c r="F21" s="534"/>
      <c r="G21" s="535"/>
      <c r="H21" s="21">
        <f>Table_4_UK!R61</f>
        <v>83422</v>
      </c>
      <c r="I21" s="523">
        <v>0</v>
      </c>
      <c r="J21" s="523">
        <v>0</v>
      </c>
    </row>
    <row r="22" spans="1:16" customFormat="1" ht="12.75" customHeight="1" x14ac:dyDescent="0.35">
      <c r="A22" s="404" t="s">
        <v>711</v>
      </c>
      <c r="B22" s="506"/>
      <c r="C22" s="470" t="s">
        <v>860</v>
      </c>
      <c r="D22" s="534"/>
      <c r="E22" s="534"/>
      <c r="F22" s="534"/>
      <c r="G22" s="535"/>
      <c r="H22" s="21">
        <f>Table_4_UK!S61</f>
        <v>1177</v>
      </c>
      <c r="I22" s="523">
        <v>0</v>
      </c>
      <c r="J22" s="523">
        <v>0</v>
      </c>
    </row>
    <row r="23" spans="1:16" customFormat="1" ht="12.75" customHeight="1" x14ac:dyDescent="0.35">
      <c r="A23" s="404" t="s">
        <v>713</v>
      </c>
      <c r="B23" s="506"/>
      <c r="C23" s="470" t="s">
        <v>861</v>
      </c>
      <c r="D23" s="534"/>
      <c r="E23" s="534"/>
      <c r="F23" s="534"/>
      <c r="G23" s="535"/>
      <c r="H23" s="21">
        <f>Table_4_UK!T61</f>
        <v>44249</v>
      </c>
      <c r="I23" s="523">
        <v>0</v>
      </c>
      <c r="J23" s="523">
        <v>0</v>
      </c>
      <c r="P23" s="25"/>
    </row>
    <row r="24" spans="1:16" customFormat="1" ht="12.75" customHeight="1" x14ac:dyDescent="0.35">
      <c r="A24" s="404" t="s">
        <v>715</v>
      </c>
      <c r="B24" s="506"/>
      <c r="C24" s="470" t="s">
        <v>862</v>
      </c>
      <c r="D24" s="534"/>
      <c r="E24" s="534"/>
      <c r="F24" s="534"/>
      <c r="G24" s="535"/>
      <c r="H24" s="21">
        <f>Table_4_UK!U61</f>
        <v>0</v>
      </c>
      <c r="I24" s="523">
        <v>0</v>
      </c>
      <c r="J24" s="523">
        <v>0</v>
      </c>
    </row>
    <row r="25" spans="1:16" customFormat="1" ht="12.75" customHeight="1" x14ac:dyDescent="0.35">
      <c r="A25" s="404" t="s">
        <v>717</v>
      </c>
      <c r="B25" s="506"/>
      <c r="C25" s="470" t="s">
        <v>863</v>
      </c>
      <c r="D25" s="534"/>
      <c r="E25" s="534"/>
      <c r="F25" s="534"/>
      <c r="G25" s="535"/>
      <c r="H25" s="21">
        <f>Table_4_UK!V61</f>
        <v>15677</v>
      </c>
      <c r="I25" s="523">
        <v>0</v>
      </c>
      <c r="J25" s="523">
        <v>0</v>
      </c>
    </row>
    <row r="26" spans="1:16" customFormat="1" ht="12.75" customHeight="1" x14ac:dyDescent="0.35">
      <c r="A26" s="404" t="s">
        <v>719</v>
      </c>
      <c r="B26" s="506"/>
      <c r="C26" s="470" t="s">
        <v>864</v>
      </c>
      <c r="D26" s="534"/>
      <c r="E26" s="534"/>
      <c r="F26" s="534"/>
      <c r="G26" s="535"/>
      <c r="H26" s="21">
        <f>Table_4_UK!W61</f>
        <v>-1686</v>
      </c>
      <c r="I26" s="523">
        <v>0</v>
      </c>
      <c r="J26" s="523">
        <v>0</v>
      </c>
    </row>
    <row r="27" spans="1:16" customFormat="1" ht="13" customHeight="1" x14ac:dyDescent="0.35">
      <c r="A27" s="404" t="s">
        <v>721</v>
      </c>
      <c r="B27" s="476" t="s">
        <v>1020</v>
      </c>
      <c r="C27" s="476"/>
      <c r="D27" s="531"/>
      <c r="E27" s="531"/>
      <c r="F27" s="531"/>
      <c r="G27" s="532"/>
      <c r="H27" s="488">
        <f>SUM(H20:H26)</f>
        <v>322686</v>
      </c>
      <c r="I27" s="533">
        <f>SUM(I20:I26)</f>
        <v>0</v>
      </c>
      <c r="J27" s="533">
        <f>SUM(J20:J26)</f>
        <v>0</v>
      </c>
    </row>
    <row r="28" spans="1:16" customFormat="1" ht="12.75" customHeight="1" x14ac:dyDescent="0.35">
      <c r="A28" s="404" t="s">
        <v>723</v>
      </c>
      <c r="B28" s="506"/>
      <c r="C28" s="470" t="s">
        <v>865</v>
      </c>
      <c r="D28" s="534"/>
      <c r="E28" s="534"/>
      <c r="F28" s="534"/>
      <c r="G28" s="535"/>
      <c r="H28" s="21">
        <f>Table_4_UK!X61</f>
        <v>7059</v>
      </c>
      <c r="I28" s="523">
        <v>0</v>
      </c>
      <c r="J28" s="523">
        <v>0</v>
      </c>
    </row>
    <row r="29" spans="1:16" customFormat="1" ht="12.75" customHeight="1" x14ac:dyDescent="0.35">
      <c r="A29" s="404" t="s">
        <v>1021</v>
      </c>
      <c r="B29" s="506"/>
      <c r="C29" s="470" t="s">
        <v>866</v>
      </c>
      <c r="D29" s="534"/>
      <c r="E29" s="534"/>
      <c r="F29" s="534"/>
      <c r="G29" s="535"/>
      <c r="H29" s="21">
        <f>Table_4_UK!Y61</f>
        <v>3588</v>
      </c>
      <c r="I29" s="523">
        <v>0</v>
      </c>
      <c r="J29" s="523">
        <v>0</v>
      </c>
    </row>
    <row r="30" spans="1:16" customFormat="1" ht="12.75" customHeight="1" x14ac:dyDescent="0.35">
      <c r="A30" s="404" t="s">
        <v>1022</v>
      </c>
      <c r="B30" s="506"/>
      <c r="C30" s="470" t="s">
        <v>867</v>
      </c>
      <c r="D30" s="534"/>
      <c r="E30" s="534"/>
      <c r="F30" s="534"/>
      <c r="G30" s="535"/>
      <c r="H30" s="21">
        <f>Table_4_UK!Z61</f>
        <v>3990</v>
      </c>
      <c r="I30" s="523">
        <v>0</v>
      </c>
      <c r="J30" s="523">
        <v>0</v>
      </c>
    </row>
    <row r="31" spans="1:16" customFormat="1" ht="12.75" customHeight="1" x14ac:dyDescent="0.35">
      <c r="A31" s="404" t="s">
        <v>126</v>
      </c>
      <c r="B31" s="506"/>
      <c r="C31" s="171" t="s">
        <v>127</v>
      </c>
      <c r="D31" s="534"/>
      <c r="E31" s="534"/>
      <c r="F31" s="534"/>
      <c r="G31" s="535"/>
      <c r="H31" s="21">
        <f>Table_4_UK!AA61</f>
        <v>1990</v>
      </c>
      <c r="I31" s="523">
        <v>0</v>
      </c>
      <c r="J31" s="523">
        <v>0</v>
      </c>
    </row>
    <row r="32" spans="1:16" customFormat="1" ht="13" customHeight="1" x14ac:dyDescent="0.35">
      <c r="A32" s="404" t="s">
        <v>128</v>
      </c>
      <c r="B32" s="476" t="s">
        <v>1023</v>
      </c>
      <c r="C32" s="476"/>
      <c r="D32" s="531"/>
      <c r="E32" s="531"/>
      <c r="F32" s="531"/>
      <c r="G32" s="532"/>
      <c r="H32" s="488">
        <f>SUM(H28:H31)</f>
        <v>16627</v>
      </c>
      <c r="I32" s="533">
        <f>SUM(I28:I31)</f>
        <v>0</v>
      </c>
      <c r="J32" s="533">
        <f>SUM(J28:J31)</f>
        <v>0</v>
      </c>
    </row>
    <row r="33" spans="1:10" customFormat="1" ht="12.75" customHeight="1" x14ac:dyDescent="0.35">
      <c r="A33" s="404" t="s">
        <v>130</v>
      </c>
      <c r="B33" s="506"/>
      <c r="C33" s="470" t="s">
        <v>129</v>
      </c>
      <c r="D33" s="534"/>
      <c r="E33" s="534"/>
      <c r="F33" s="534"/>
      <c r="G33" s="535"/>
      <c r="H33" s="21">
        <f>Table_4_UK!AB61</f>
        <v>13541</v>
      </c>
      <c r="I33" s="523">
        <v>0</v>
      </c>
      <c r="J33" s="523">
        <v>0</v>
      </c>
    </row>
    <row r="34" spans="1:10" customFormat="1" ht="12.75" customHeight="1" x14ac:dyDescent="0.35">
      <c r="A34" s="404" t="s">
        <v>132</v>
      </c>
      <c r="B34" s="506"/>
      <c r="C34" s="470" t="s">
        <v>131</v>
      </c>
      <c r="D34" s="534"/>
      <c r="E34" s="534"/>
      <c r="F34" s="534"/>
      <c r="G34" s="535"/>
      <c r="H34" s="21">
        <f>Table_4_UK!AC61</f>
        <v>11329</v>
      </c>
      <c r="I34" s="523">
        <v>0</v>
      </c>
      <c r="J34" s="523">
        <v>0</v>
      </c>
    </row>
    <row r="35" spans="1:10" customFormat="1" ht="12.75" customHeight="1" x14ac:dyDescent="0.35">
      <c r="A35" s="404" t="s">
        <v>1024</v>
      </c>
      <c r="B35" s="506"/>
      <c r="C35" s="470" t="s">
        <v>133</v>
      </c>
      <c r="D35" s="534"/>
      <c r="E35" s="534"/>
      <c r="F35" s="534"/>
      <c r="G35" s="535"/>
      <c r="H35" s="21">
        <f>Table_4_UK!AD61</f>
        <v>11189</v>
      </c>
      <c r="I35" s="523">
        <v>0</v>
      </c>
      <c r="J35" s="523">
        <v>0</v>
      </c>
    </row>
    <row r="36" spans="1:10" customFormat="1" ht="13" customHeight="1" x14ac:dyDescent="0.35">
      <c r="A36" s="404" t="s">
        <v>1025</v>
      </c>
      <c r="B36" s="476" t="s">
        <v>1026</v>
      </c>
      <c r="C36" s="476"/>
      <c r="D36" s="531"/>
      <c r="E36" s="531"/>
      <c r="F36" s="531"/>
      <c r="G36" s="532"/>
      <c r="H36" s="488">
        <f>SUM(H33:H35)</f>
        <v>36059</v>
      </c>
      <c r="I36" s="533">
        <f>SUM(I33:I35)</f>
        <v>0</v>
      </c>
      <c r="J36" s="533">
        <f>SUM(J33:J35)</f>
        <v>0</v>
      </c>
    </row>
    <row r="37" spans="1:10" customFormat="1" ht="12.75" customHeight="1" x14ac:dyDescent="0.35">
      <c r="A37" s="404" t="s">
        <v>1027</v>
      </c>
      <c r="B37" s="512" t="s">
        <v>1028</v>
      </c>
      <c r="C37" s="492"/>
      <c r="D37" s="492"/>
      <c r="E37" s="492"/>
      <c r="F37" s="492"/>
      <c r="G37" s="500"/>
      <c r="H37" s="488">
        <f>SUM(H27+H32+H36)</f>
        <v>375372</v>
      </c>
      <c r="I37" s="533">
        <f>SUM(I27+I32+I36)</f>
        <v>0</v>
      </c>
      <c r="J37" s="533">
        <f>SUM(J27+J32+J36)</f>
        <v>0</v>
      </c>
    </row>
    <row r="38" spans="1:10" customFormat="1" ht="12.75" customHeight="1" x14ac:dyDescent="0.35">
      <c r="A38" s="404"/>
      <c r="B38" s="508"/>
      <c r="C38" s="509"/>
      <c r="D38" s="509"/>
      <c r="E38" s="509"/>
      <c r="F38" s="509"/>
      <c r="G38" s="510"/>
      <c r="H38" s="524"/>
      <c r="I38" s="524"/>
      <c r="J38" s="524"/>
    </row>
    <row r="39" spans="1:10" customFormat="1" ht="12.75" customHeight="1" x14ac:dyDescent="0.35">
      <c r="A39" s="404">
        <v>4</v>
      </c>
      <c r="B39" s="459" t="s">
        <v>620</v>
      </c>
      <c r="C39" s="460"/>
      <c r="D39" s="460"/>
      <c r="E39" s="460"/>
      <c r="F39" s="460"/>
      <c r="G39" s="461"/>
      <c r="H39" s="467"/>
      <c r="I39" s="467"/>
      <c r="J39" s="467"/>
    </row>
    <row r="40" spans="1:10" customFormat="1" ht="12.75" customHeight="1" x14ac:dyDescent="0.35">
      <c r="A40" s="404" t="s">
        <v>770</v>
      </c>
      <c r="B40" s="506"/>
      <c r="C40" s="470" t="s">
        <v>1029</v>
      </c>
      <c r="D40" s="534"/>
      <c r="E40" s="534"/>
      <c r="F40" s="534"/>
      <c r="G40" s="535"/>
      <c r="H40" s="524"/>
      <c r="I40" s="524"/>
      <c r="J40" s="524"/>
    </row>
    <row r="41" spans="1:10" customFormat="1" ht="24.75" customHeight="1" x14ac:dyDescent="0.35">
      <c r="A41" s="404" t="s">
        <v>970</v>
      </c>
      <c r="B41" s="468"/>
      <c r="C41" s="528"/>
      <c r="D41" s="22" t="s">
        <v>1030</v>
      </c>
      <c r="E41" s="528"/>
      <c r="F41" s="528"/>
      <c r="G41" s="530"/>
      <c r="H41" s="536">
        <v>5337</v>
      </c>
      <c r="I41" s="523">
        <v>0</v>
      </c>
      <c r="J41" s="523">
        <v>0</v>
      </c>
    </row>
    <row r="42" spans="1:10" x14ac:dyDescent="0.35">
      <c r="A42" s="404" t="s">
        <v>972</v>
      </c>
      <c r="B42" s="468"/>
      <c r="C42" s="537"/>
      <c r="D42" s="22" t="s">
        <v>1031</v>
      </c>
      <c r="E42" s="528"/>
      <c r="F42" s="528"/>
      <c r="G42" s="530"/>
      <c r="H42" s="536">
        <v>0</v>
      </c>
      <c r="I42" s="523">
        <v>0</v>
      </c>
      <c r="J42" s="523">
        <v>0</v>
      </c>
    </row>
    <row r="43" spans="1:10" customFormat="1" ht="12.75" customHeight="1" x14ac:dyDescent="0.35">
      <c r="A43" s="404" t="s">
        <v>974</v>
      </c>
      <c r="B43" s="468"/>
      <c r="C43" s="469"/>
      <c r="D43" s="470" t="s">
        <v>110</v>
      </c>
      <c r="E43" s="469"/>
      <c r="F43" s="469"/>
      <c r="G43" s="471"/>
      <c r="H43" s="536">
        <v>53963</v>
      </c>
      <c r="I43" s="523">
        <v>0</v>
      </c>
      <c r="J43" s="523">
        <v>0</v>
      </c>
    </row>
    <row r="44" spans="1:10" customFormat="1" ht="12.75" customHeight="1" x14ac:dyDescent="0.35">
      <c r="A44" s="404" t="s">
        <v>976</v>
      </c>
      <c r="B44" s="538"/>
      <c r="C44" s="476" t="s">
        <v>1032</v>
      </c>
      <c r="D44" s="477"/>
      <c r="E44" s="477"/>
      <c r="F44" s="477"/>
      <c r="G44" s="478"/>
      <c r="H44" s="488">
        <f>SUM(H41:H43)</f>
        <v>59300</v>
      </c>
      <c r="I44" s="533">
        <f>SUM(I41:I43)</f>
        <v>0</v>
      </c>
      <c r="J44" s="533">
        <f>SUM(J41:J43)</f>
        <v>0</v>
      </c>
    </row>
    <row r="45" spans="1:10" customFormat="1" ht="12.75" customHeight="1" x14ac:dyDescent="0.35">
      <c r="A45" s="404" t="s">
        <v>1000</v>
      </c>
      <c r="B45" s="506"/>
      <c r="C45" s="470" t="s">
        <v>1033</v>
      </c>
      <c r="D45" s="534"/>
      <c r="E45" s="534"/>
      <c r="F45" s="534"/>
      <c r="G45" s="535"/>
      <c r="H45" s="539"/>
      <c r="I45" s="540"/>
      <c r="J45" s="540"/>
    </row>
    <row r="46" spans="1:10" customFormat="1" ht="12.75" customHeight="1" x14ac:dyDescent="0.35">
      <c r="A46" s="404" t="s">
        <v>970</v>
      </c>
      <c r="B46" s="468"/>
      <c r="C46" s="469"/>
      <c r="D46" s="470" t="s">
        <v>1034</v>
      </c>
      <c r="E46" s="469"/>
      <c r="F46" s="469"/>
      <c r="G46" s="471"/>
      <c r="H46" s="536">
        <v>94376</v>
      </c>
      <c r="I46" s="523">
        <v>0</v>
      </c>
      <c r="J46" s="523">
        <v>0</v>
      </c>
    </row>
    <row r="47" spans="1:10" customFormat="1" ht="12.75" customHeight="1" x14ac:dyDescent="0.35">
      <c r="A47" s="404" t="s">
        <v>972</v>
      </c>
      <c r="B47" s="468"/>
      <c r="C47" s="469"/>
      <c r="D47" s="470" t="s">
        <v>1035</v>
      </c>
      <c r="E47" s="469"/>
      <c r="F47" s="469"/>
      <c r="G47" s="471"/>
      <c r="H47" s="536">
        <v>20401</v>
      </c>
      <c r="I47" s="523">
        <v>0</v>
      </c>
      <c r="J47" s="523">
        <v>0</v>
      </c>
    </row>
    <row r="48" spans="1:10" customFormat="1" ht="12.75" customHeight="1" x14ac:dyDescent="0.35">
      <c r="A48" s="404" t="s">
        <v>974</v>
      </c>
      <c r="B48" s="538"/>
      <c r="C48" s="476" t="s">
        <v>1036</v>
      </c>
      <c r="D48" s="477"/>
      <c r="E48" s="477"/>
      <c r="F48" s="477"/>
      <c r="G48" s="478"/>
      <c r="H48" s="488">
        <f>SUM(H46:H47)</f>
        <v>114777</v>
      </c>
      <c r="I48" s="533">
        <f>SUM(I46:I47)</f>
        <v>0</v>
      </c>
      <c r="J48" s="533">
        <f>SUM(J46:J47)</f>
        <v>0</v>
      </c>
    </row>
    <row r="49" spans="1:10" customFormat="1" ht="12.75" customHeight="1" x14ac:dyDescent="0.35">
      <c r="A49" s="404" t="s">
        <v>1002</v>
      </c>
      <c r="B49" s="506"/>
      <c r="C49" s="470" t="s">
        <v>1037</v>
      </c>
      <c r="D49" s="534"/>
      <c r="E49" s="534"/>
      <c r="F49" s="534"/>
      <c r="G49" s="535"/>
      <c r="H49" s="536">
        <v>0</v>
      </c>
      <c r="I49" s="523">
        <v>0</v>
      </c>
      <c r="J49" s="523">
        <v>0</v>
      </c>
    </row>
    <row r="50" spans="1:10" customFormat="1" ht="12.75" customHeight="1" x14ac:dyDescent="0.35">
      <c r="A50" s="404" t="s">
        <v>1038</v>
      </c>
      <c r="B50" s="506"/>
      <c r="C50" s="470" t="s">
        <v>1039</v>
      </c>
      <c r="D50" s="525"/>
      <c r="E50" s="525"/>
      <c r="F50" s="525"/>
      <c r="G50" s="526"/>
      <c r="H50" s="536">
        <v>16799</v>
      </c>
      <c r="I50" s="523">
        <v>0</v>
      </c>
      <c r="J50" s="523">
        <v>0</v>
      </c>
    </row>
    <row r="51" spans="1:10" customFormat="1" ht="12.75" customHeight="1" x14ac:dyDescent="0.35">
      <c r="A51" s="404" t="s">
        <v>1040</v>
      </c>
      <c r="B51" s="506"/>
      <c r="C51" s="470" t="s">
        <v>1041</v>
      </c>
      <c r="D51" s="534"/>
      <c r="E51" s="534"/>
      <c r="F51" s="534"/>
      <c r="G51" s="535"/>
      <c r="H51" s="536">
        <v>11072</v>
      </c>
      <c r="I51" s="523">
        <v>0</v>
      </c>
      <c r="J51" s="523">
        <v>0</v>
      </c>
    </row>
    <row r="52" spans="1:10" customFormat="1" ht="12.75" customHeight="1" x14ac:dyDescent="0.35">
      <c r="A52" s="404" t="s">
        <v>1042</v>
      </c>
      <c r="B52" s="506"/>
      <c r="C52" s="470" t="s">
        <v>1043</v>
      </c>
      <c r="D52" s="534"/>
      <c r="E52" s="534"/>
      <c r="F52" s="534"/>
      <c r="G52" s="535"/>
      <c r="H52" s="536">
        <v>0</v>
      </c>
      <c r="I52" s="523">
        <v>0</v>
      </c>
      <c r="J52" s="523">
        <v>0</v>
      </c>
    </row>
    <row r="53" spans="1:10" customFormat="1" ht="12.75" customHeight="1" x14ac:dyDescent="0.35">
      <c r="A53" s="404" t="s">
        <v>1044</v>
      </c>
      <c r="B53" s="506"/>
      <c r="C53" s="470" t="s">
        <v>1045</v>
      </c>
      <c r="D53" s="534"/>
      <c r="E53" s="534"/>
      <c r="F53" s="534"/>
      <c r="G53" s="535"/>
      <c r="H53" s="536">
        <v>1787</v>
      </c>
      <c r="I53" s="523">
        <v>0</v>
      </c>
      <c r="J53" s="523">
        <v>0</v>
      </c>
    </row>
    <row r="54" spans="1:10" customFormat="1" ht="12.75" customHeight="1" x14ac:dyDescent="0.35">
      <c r="A54" s="404" t="s">
        <v>1046</v>
      </c>
      <c r="B54" s="506"/>
      <c r="C54" s="470" t="s">
        <v>1047</v>
      </c>
      <c r="D54" s="534"/>
      <c r="E54" s="534"/>
      <c r="F54" s="534"/>
      <c r="G54" s="535"/>
      <c r="H54" s="536">
        <v>57448</v>
      </c>
      <c r="I54" s="523">
        <v>0</v>
      </c>
      <c r="J54" s="523">
        <v>0</v>
      </c>
    </row>
    <row r="55" spans="1:10" customFormat="1" ht="12.75" customHeight="1" x14ac:dyDescent="0.35">
      <c r="A55" s="404" t="s">
        <v>1048</v>
      </c>
      <c r="B55" s="512" t="s">
        <v>1049</v>
      </c>
      <c r="C55" s="492"/>
      <c r="D55" s="492"/>
      <c r="E55" s="492"/>
      <c r="F55" s="492"/>
      <c r="G55" s="500"/>
      <c r="H55" s="488">
        <f>H44+SUM(H48:H54)</f>
        <v>261183</v>
      </c>
      <c r="I55" s="533">
        <f>I44+SUM(I48:I54)</f>
        <v>0</v>
      </c>
      <c r="J55" s="533">
        <f>J44+SUM(J48:J54)</f>
        <v>0</v>
      </c>
    </row>
    <row r="56" spans="1:10" customFormat="1" ht="12.75" customHeight="1" x14ac:dyDescent="0.35">
      <c r="A56" s="404"/>
      <c r="B56" s="508"/>
      <c r="C56" s="509"/>
      <c r="D56" s="509"/>
      <c r="E56" s="509"/>
      <c r="F56" s="509"/>
      <c r="G56" s="510"/>
      <c r="H56" s="524"/>
      <c r="I56" s="540"/>
      <c r="J56" s="540"/>
    </row>
    <row r="57" spans="1:10" customFormat="1" ht="12.75" customHeight="1" x14ac:dyDescent="0.35">
      <c r="A57" s="404">
        <v>5</v>
      </c>
      <c r="B57" s="437" t="s">
        <v>622</v>
      </c>
      <c r="C57" s="438"/>
      <c r="D57" s="438"/>
      <c r="E57" s="438"/>
      <c r="F57" s="438"/>
      <c r="G57" s="442"/>
      <c r="H57" s="536">
        <v>54233</v>
      </c>
      <c r="I57" s="523">
        <v>0</v>
      </c>
      <c r="J57" s="523">
        <v>0</v>
      </c>
    </row>
    <row r="58" spans="1:10" customFormat="1" ht="12.75" customHeight="1" x14ac:dyDescent="0.35">
      <c r="A58" s="404"/>
      <c r="B58" s="508"/>
      <c r="C58" s="509"/>
      <c r="D58" s="509"/>
      <c r="E58" s="509"/>
      <c r="F58" s="509"/>
      <c r="G58" s="510"/>
      <c r="H58" s="524"/>
      <c r="I58" s="540"/>
      <c r="J58" s="540"/>
    </row>
    <row r="59" spans="1:10" customFormat="1" ht="12.75" customHeight="1" x14ac:dyDescent="0.35">
      <c r="A59" s="404">
        <v>6</v>
      </c>
      <c r="B59" s="307" t="s">
        <v>1050</v>
      </c>
      <c r="C59" s="337"/>
      <c r="D59" s="337"/>
      <c r="E59" s="337"/>
      <c r="F59" s="337"/>
      <c r="G59" s="338"/>
      <c r="H59" s="488">
        <f>H5+H7+H37+H55+H57</f>
        <v>1454046</v>
      </c>
      <c r="I59" s="533">
        <f>I5+I7+I37+I55+I57</f>
        <v>0</v>
      </c>
      <c r="J59" s="533">
        <f>J5+J7+J37+J55+J57</f>
        <v>0</v>
      </c>
    </row>
    <row r="60" spans="1:10" customFormat="1" ht="12.75" customHeight="1" x14ac:dyDescent="0.35">
      <c r="A60" s="404"/>
      <c r="B60" s="508"/>
      <c r="C60" s="509"/>
      <c r="D60" s="509"/>
      <c r="E60" s="509"/>
      <c r="F60" s="509"/>
      <c r="G60" s="510"/>
      <c r="H60" s="524"/>
      <c r="I60" s="540"/>
      <c r="J60" s="540"/>
    </row>
    <row r="61" spans="1:10" customFormat="1" ht="12.75" customHeight="1" x14ac:dyDescent="0.35">
      <c r="A61" s="404">
        <v>7</v>
      </c>
      <c r="B61" s="460" t="s">
        <v>624</v>
      </c>
      <c r="C61" s="460"/>
      <c r="D61" s="460"/>
      <c r="E61" s="460"/>
      <c r="F61" s="460"/>
      <c r="G61" s="460"/>
      <c r="H61" s="541"/>
      <c r="I61" s="542"/>
      <c r="J61" s="542"/>
    </row>
    <row r="62" spans="1:10" x14ac:dyDescent="0.35">
      <c r="A62" s="404" t="s">
        <v>729</v>
      </c>
      <c r="B62" s="80"/>
      <c r="C62" s="470" t="s">
        <v>1051</v>
      </c>
      <c r="D62" s="469"/>
      <c r="E62" s="469"/>
      <c r="F62" s="469"/>
      <c r="G62" s="6"/>
      <c r="H62" s="536">
        <v>8360</v>
      </c>
      <c r="I62" s="523">
        <v>0</v>
      </c>
      <c r="J62" s="523">
        <v>0</v>
      </c>
    </row>
    <row r="63" spans="1:10" x14ac:dyDescent="0.35">
      <c r="A63" s="404" t="s">
        <v>730</v>
      </c>
      <c r="B63" s="80"/>
      <c r="C63" s="470" t="s">
        <v>1052</v>
      </c>
      <c r="D63" s="469"/>
      <c r="E63" s="469"/>
      <c r="F63" s="469"/>
      <c r="G63" s="6"/>
      <c r="H63" s="536">
        <v>12921</v>
      </c>
      <c r="I63" s="523">
        <v>0</v>
      </c>
      <c r="J63" s="523">
        <v>0</v>
      </c>
    </row>
    <row r="64" spans="1:10" x14ac:dyDescent="0.35">
      <c r="A64" s="404" t="s">
        <v>731</v>
      </c>
      <c r="B64" s="80"/>
      <c r="C64" s="470" t="s">
        <v>1053</v>
      </c>
      <c r="D64" s="469"/>
      <c r="E64" s="469"/>
      <c r="F64" s="469"/>
      <c r="G64" s="6"/>
      <c r="H64" s="536">
        <v>1041</v>
      </c>
      <c r="I64" s="523">
        <v>0</v>
      </c>
      <c r="J64" s="523">
        <v>0</v>
      </c>
    </row>
    <row r="65" spans="1:10" customFormat="1" ht="13" customHeight="1" x14ac:dyDescent="0.35">
      <c r="A65" s="404" t="s">
        <v>732</v>
      </c>
      <c r="B65" s="307" t="s">
        <v>1054</v>
      </c>
      <c r="C65" s="495"/>
      <c r="D65" s="495"/>
      <c r="E65" s="495"/>
      <c r="F65" s="495"/>
      <c r="G65" s="338"/>
      <c r="H65" s="488">
        <f>SUM(H62:H64)</f>
        <v>22322</v>
      </c>
      <c r="I65" s="533">
        <f>SUM(I62:I64)</f>
        <v>0</v>
      </c>
      <c r="J65" s="533">
        <f>SUM(J62:J64)</f>
        <v>0</v>
      </c>
    </row>
    <row r="66" spans="1:10" customFormat="1" ht="12.75" customHeight="1" x14ac:dyDescent="0.35">
      <c r="A66" s="404"/>
      <c r="B66" s="508"/>
      <c r="C66" s="509"/>
      <c r="D66" s="509"/>
      <c r="E66" s="509"/>
      <c r="F66" s="509"/>
      <c r="G66" s="510"/>
      <c r="H66" s="524"/>
      <c r="I66" s="540"/>
      <c r="J66" s="540"/>
    </row>
    <row r="67" spans="1:10" customFormat="1" ht="13" customHeight="1" x14ac:dyDescent="0.35">
      <c r="A67" s="404">
        <v>8</v>
      </c>
      <c r="B67" s="316" t="s">
        <v>626</v>
      </c>
      <c r="C67" s="543"/>
      <c r="D67" s="543"/>
      <c r="E67" s="543"/>
      <c r="F67" s="543"/>
      <c r="G67" s="543"/>
      <c r="H67" s="488">
        <f>H59+H65</f>
        <v>1476368</v>
      </c>
      <c r="I67" s="533">
        <f>I59+I65</f>
        <v>0</v>
      </c>
      <c r="J67" s="533">
        <f>J59+J65</f>
        <v>0</v>
      </c>
    </row>
    <row r="68" spans="1:10" customFormat="1" ht="12.75" customHeight="1" x14ac:dyDescent="0.35"/>
    <row r="69" spans="1:10" customFormat="1" ht="12.75" customHeight="1" x14ac:dyDescent="0.35"/>
    <row r="70" spans="1:10" customFormat="1" ht="12.75" customHeight="1" x14ac:dyDescent="0.35"/>
  </sheetData>
  <sheetProtection algorithmName="SHA-512" hashValue="XPkzrtMmewXCfB2ND8+C3NGRTX+T/h760IkKnlGlurqzSGaeyU5OKZR1NnegkXyfkETQnswta7AhAE7kpnmyuA==" saltValue="SQp2IVamJ9TsnBPOjmo8RA==" spinCount="100000" sheet="1" objects="1"/>
  <dataValidations count="1">
    <dataValidation type="whole" operator="greaterThan" allowBlank="1" showInputMessage="1" showErrorMessage="1" errorTitle="Whole numbers only allowed" error="All monies should be independently rounded to the nearest £1,000." sqref="I5:J5 I7:J7 I11:J19 I21:J26 I28:J31 I33:J35 H41:J43 H46:J47 H49:J54 H57:J57 H62:J64" xr:uid="{00000000-0002-0000-0A00-000000000000}">
      <formula1>-999999999</formula1>
    </dataValidation>
  </dataValidations>
  <printOptions headings="1" gridLines="1"/>
  <pageMargins left="0.11811023622047245" right="0.11811023622047245" top="0.35433070866141736" bottom="0.35433070866141736"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J41"/>
  <sheetViews>
    <sheetView workbookViewId="0">
      <selection activeCell="A15" sqref="A15"/>
    </sheetView>
  </sheetViews>
  <sheetFormatPr defaultColWidth="9.81640625" defaultRowHeight="12.5" x14ac:dyDescent="0.25"/>
  <cols>
    <col min="1" max="1" width="13.54296875" style="25" bestFit="1" customWidth="1"/>
    <col min="2" max="2" width="1.81640625" style="25" customWidth="1"/>
    <col min="3" max="3" width="85.54296875" style="25" customWidth="1"/>
    <col min="4" max="4" width="7" style="25" hidden="1" customWidth="1"/>
    <col min="5" max="5" width="7.1796875" style="25" hidden="1" customWidth="1"/>
    <col min="6" max="6" width="6.81640625" style="25" hidden="1" customWidth="1"/>
    <col min="7" max="7" width="7.81640625" style="25" hidden="1" customWidth="1"/>
    <col min="8" max="8" width="9.81640625" style="25" customWidth="1"/>
    <col min="9" max="16384" width="9.81640625" style="25"/>
  </cols>
  <sheetData>
    <row r="1" spans="1:10" customFormat="1" ht="15.75" customHeight="1" x14ac:dyDescent="0.35">
      <c r="A1" s="544" t="s">
        <v>1055</v>
      </c>
      <c r="B1" s="515" t="s">
        <v>1056</v>
      </c>
      <c r="C1" s="515"/>
      <c r="D1" s="515"/>
      <c r="E1" s="515"/>
      <c r="F1" s="515"/>
      <c r="G1" s="515"/>
      <c r="H1" s="278"/>
    </row>
    <row r="2" spans="1:10" customFormat="1" ht="13.75" customHeight="1" x14ac:dyDescent="0.35">
      <c r="A2" s="545"/>
      <c r="B2" s="546"/>
      <c r="C2" s="546"/>
      <c r="D2" s="546"/>
      <c r="E2" s="546"/>
      <c r="F2" s="546"/>
      <c r="G2" s="546"/>
      <c r="H2" s="546"/>
      <c r="J2" s="119"/>
    </row>
    <row r="3" spans="1:10" customFormat="1" ht="11.75" customHeight="1" x14ac:dyDescent="0.35">
      <c r="A3" s="546"/>
      <c r="B3" s="546"/>
      <c r="C3" s="546"/>
      <c r="D3" s="546"/>
      <c r="E3" s="546"/>
      <c r="F3" s="546"/>
      <c r="G3" s="546"/>
      <c r="H3" s="546"/>
    </row>
    <row r="4" spans="1:10" customFormat="1" ht="15" customHeight="1" x14ac:dyDescent="0.35">
      <c r="A4" s="547"/>
      <c r="B4" s="548"/>
      <c r="C4" s="548"/>
      <c r="D4" s="548"/>
      <c r="E4" s="548"/>
      <c r="F4" s="548"/>
      <c r="G4" s="548"/>
      <c r="H4" s="355" t="s">
        <v>607</v>
      </c>
    </row>
    <row r="5" spans="1:10" customFormat="1" ht="12.5" customHeight="1" x14ac:dyDescent="0.35">
      <c r="A5" s="549"/>
      <c r="B5" s="550" t="s">
        <v>1057</v>
      </c>
      <c r="C5" s="460"/>
      <c r="D5" s="460"/>
      <c r="E5" s="460"/>
      <c r="F5" s="460"/>
      <c r="G5" s="461"/>
      <c r="H5" s="551"/>
    </row>
    <row r="6" spans="1:10" customFormat="1" ht="15.5" customHeight="1" x14ac:dyDescent="0.35">
      <c r="A6" s="404" t="s">
        <v>613</v>
      </c>
      <c r="B6" s="509" t="s">
        <v>1058</v>
      </c>
      <c r="C6" s="509"/>
      <c r="D6" s="509"/>
      <c r="E6" s="534"/>
      <c r="F6" s="534"/>
      <c r="G6" s="535"/>
      <c r="H6" s="536">
        <v>0</v>
      </c>
    </row>
    <row r="7" spans="1:10" customFormat="1" ht="15.5" customHeight="1" x14ac:dyDescent="0.35">
      <c r="A7" s="404" t="s">
        <v>615</v>
      </c>
      <c r="B7" s="509" t="s">
        <v>1059</v>
      </c>
      <c r="C7" s="509"/>
      <c r="D7" s="509"/>
      <c r="E7" s="534"/>
      <c r="F7" s="534"/>
      <c r="G7" s="110"/>
      <c r="H7" s="536">
        <v>0</v>
      </c>
    </row>
    <row r="8" spans="1:10" customFormat="1" ht="15.5" customHeight="1" x14ac:dyDescent="0.35">
      <c r="A8" s="404" t="s">
        <v>617</v>
      </c>
      <c r="B8" s="509" t="s">
        <v>1060</v>
      </c>
      <c r="C8" s="509"/>
      <c r="D8" s="509"/>
      <c r="E8" s="534"/>
      <c r="F8" s="534"/>
      <c r="G8" s="110"/>
      <c r="H8" s="536">
        <v>0</v>
      </c>
    </row>
    <row r="9" spans="1:10" customFormat="1" ht="15.5" customHeight="1" x14ac:dyDescent="0.35">
      <c r="A9" s="404" t="s">
        <v>619</v>
      </c>
      <c r="B9" s="509" t="s">
        <v>1061</v>
      </c>
      <c r="C9" s="509"/>
      <c r="D9" s="509"/>
      <c r="E9" s="534"/>
      <c r="F9" s="534"/>
      <c r="G9" s="110"/>
      <c r="H9" s="536">
        <v>0</v>
      </c>
    </row>
    <row r="10" spans="1:10" customFormat="1" ht="15.5" customHeight="1" x14ac:dyDescent="0.35">
      <c r="A10" s="404" t="s">
        <v>621</v>
      </c>
      <c r="B10" s="509" t="s">
        <v>1062</v>
      </c>
      <c r="C10" s="509"/>
      <c r="D10" s="509"/>
      <c r="E10" s="534"/>
      <c r="F10" s="534"/>
      <c r="G10" s="110"/>
      <c r="H10" s="536">
        <v>0</v>
      </c>
    </row>
    <row r="11" spans="1:10" customFormat="1" ht="15.5" customHeight="1" x14ac:dyDescent="0.35">
      <c r="A11" s="404" t="s">
        <v>623</v>
      </c>
      <c r="B11" s="509" t="s">
        <v>1063</v>
      </c>
      <c r="C11" s="509"/>
      <c r="D11" s="509"/>
      <c r="E11" s="534"/>
      <c r="F11" s="534"/>
      <c r="G11" s="471"/>
      <c r="H11" s="536">
        <v>0</v>
      </c>
    </row>
    <row r="12" spans="1:10" customFormat="1" ht="15.5" customHeight="1" x14ac:dyDescent="0.35">
      <c r="A12" s="404" t="s">
        <v>625</v>
      </c>
      <c r="B12" s="509" t="s">
        <v>1064</v>
      </c>
      <c r="C12" s="509"/>
      <c r="D12" s="509"/>
      <c r="E12" s="534"/>
      <c r="F12" s="534"/>
      <c r="G12" s="471"/>
      <c r="H12" s="536">
        <v>0</v>
      </c>
    </row>
    <row r="13" spans="1:10" customFormat="1" ht="15.5" customHeight="1" x14ac:dyDescent="0.35">
      <c r="A13" s="404" t="s">
        <v>689</v>
      </c>
      <c r="B13" s="509" t="s">
        <v>1065</v>
      </c>
      <c r="C13" s="509"/>
      <c r="D13" s="509"/>
      <c r="E13" s="534"/>
      <c r="F13" s="534"/>
      <c r="G13" s="471"/>
      <c r="H13" s="536">
        <v>0</v>
      </c>
    </row>
    <row r="14" spans="1:10" customFormat="1" ht="15.5" customHeight="1" x14ac:dyDescent="0.35">
      <c r="A14" s="404" t="s">
        <v>691</v>
      </c>
      <c r="B14" s="509" t="s">
        <v>1066</v>
      </c>
      <c r="C14" s="509"/>
      <c r="D14" s="534"/>
      <c r="E14" s="534"/>
      <c r="F14" s="534"/>
      <c r="G14" s="23"/>
      <c r="H14" s="536">
        <v>0</v>
      </c>
    </row>
    <row r="15" spans="1:10" customFormat="1" ht="15.5" customHeight="1" x14ac:dyDescent="0.35">
      <c r="A15" s="404" t="s">
        <v>693</v>
      </c>
      <c r="B15" s="512" t="s">
        <v>1067</v>
      </c>
      <c r="C15" s="492"/>
      <c r="D15" s="492"/>
      <c r="E15" s="492"/>
      <c r="F15" s="492"/>
      <c r="G15" s="500"/>
      <c r="H15" s="488">
        <f>SUM(H6:H14)</f>
        <v>0</v>
      </c>
    </row>
    <row r="41" spans="3:3" x14ac:dyDescent="0.25">
      <c r="C41" s="141"/>
    </row>
  </sheetData>
  <sheetProtection algorithmName="SHA-512" hashValue="cllEZ7cN46uUnetNXGSgRsDXpIcivmt2AMNDyPI7sDETcmZNvZGCZggsoS8iSUqt7xNT9oUPrj6FNyetD7jw7w==" saltValue="+r7JDbz4LxXSfxpdq5lYow==" spinCount="100000" sheet="1" objects="1"/>
  <dataValidations count="1">
    <dataValidation type="whole" operator="greaterThan" allowBlank="1" showInputMessage="1" showErrorMessage="1" errorTitle="Whole numbers only allowed" error="All monies should be independently rounded to the nearest £1,000." sqref="H6:H14" xr:uid="{00000000-0002-0000-0B00-000000000000}">
      <formula1>-999999999</formula1>
    </dataValidation>
  </dataValidations>
  <printOptions headings="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H40"/>
  <sheetViews>
    <sheetView workbookViewId="0">
      <selection activeCell="I15" sqref="I15"/>
    </sheetView>
  </sheetViews>
  <sheetFormatPr defaultColWidth="9.81640625" defaultRowHeight="12.5" x14ac:dyDescent="0.25"/>
  <cols>
    <col min="1" max="1" width="14.1796875" style="25" customWidth="1"/>
    <col min="2" max="2" width="2.81640625" style="25" customWidth="1"/>
    <col min="3" max="3" width="47.81640625" style="25" customWidth="1"/>
    <col min="4" max="7" width="2.453125" style="25" hidden="1" customWidth="1"/>
    <col min="8" max="8" width="21.54296875" style="25" customWidth="1"/>
    <col min="9" max="10" width="15.1796875" style="25" customWidth="1"/>
    <col min="11" max="11" width="16" style="25" customWidth="1"/>
    <col min="12" max="12" width="15.453125" style="25" customWidth="1"/>
    <col min="13" max="13" width="15.81640625" style="25" customWidth="1"/>
    <col min="14" max="14" width="9.81640625" style="25" customWidth="1"/>
    <col min="15" max="16384" width="9.81640625" style="25"/>
  </cols>
  <sheetData>
    <row r="1" spans="1:8" customFormat="1" ht="15.5" customHeight="1" x14ac:dyDescent="0.35">
      <c r="A1" s="544" t="s">
        <v>1068</v>
      </c>
      <c r="B1" s="515" t="s">
        <v>1069</v>
      </c>
      <c r="C1" s="515"/>
      <c r="D1" s="515"/>
      <c r="E1" s="515"/>
      <c r="F1" s="515"/>
      <c r="G1" s="515"/>
      <c r="H1" s="278"/>
    </row>
    <row r="2" spans="1:8" customFormat="1" ht="12" customHeight="1" x14ac:dyDescent="0.35">
      <c r="A2" s="545"/>
      <c r="B2" s="546"/>
      <c r="C2" s="546"/>
      <c r="D2" s="546"/>
      <c r="E2" s="546"/>
      <c r="F2" s="546"/>
      <c r="G2" s="546"/>
      <c r="H2" s="552"/>
    </row>
    <row r="3" spans="1:8" customFormat="1" ht="13.75" customHeight="1" x14ac:dyDescent="0.35">
      <c r="A3" s="545"/>
      <c r="B3" s="546"/>
      <c r="C3" s="546"/>
      <c r="D3" s="546"/>
      <c r="E3" s="546"/>
      <c r="F3" s="546"/>
      <c r="G3" s="546"/>
      <c r="H3" s="552"/>
    </row>
    <row r="4" spans="1:8" customFormat="1" ht="15.5" customHeight="1" x14ac:dyDescent="0.35">
      <c r="A4" s="547"/>
      <c r="B4" s="548" t="s">
        <v>1070</v>
      </c>
      <c r="C4" s="548"/>
      <c r="D4" s="548"/>
      <c r="E4" s="548"/>
      <c r="F4" s="548"/>
      <c r="G4" s="548"/>
      <c r="H4" s="355" t="s">
        <v>607</v>
      </c>
    </row>
    <row r="5" spans="1:8" customFormat="1" ht="12.75" customHeight="1" x14ac:dyDescent="0.35">
      <c r="A5" s="553">
        <v>1</v>
      </c>
      <c r="B5" s="554" t="s">
        <v>616</v>
      </c>
      <c r="C5" s="555"/>
      <c r="D5" s="555"/>
      <c r="E5" s="555"/>
      <c r="F5" s="555"/>
      <c r="G5" s="555"/>
      <c r="H5" s="556"/>
    </row>
    <row r="6" spans="1:8" customFormat="1" ht="12.75" customHeight="1" x14ac:dyDescent="0.35">
      <c r="A6" s="294" t="s">
        <v>613</v>
      </c>
      <c r="B6" s="438" t="s">
        <v>1071</v>
      </c>
      <c r="C6" s="438"/>
      <c r="D6" s="557"/>
      <c r="E6" s="557"/>
      <c r="F6" s="557"/>
      <c r="G6" s="121"/>
      <c r="H6" s="536">
        <v>72701</v>
      </c>
    </row>
    <row r="7" spans="1:8" customFormat="1" ht="12.75" customHeight="1" x14ac:dyDescent="0.35">
      <c r="A7" s="294" t="s">
        <v>615</v>
      </c>
      <c r="B7" s="438" t="s">
        <v>1072</v>
      </c>
      <c r="C7" s="438"/>
      <c r="D7" s="557"/>
      <c r="E7" s="557"/>
      <c r="F7" s="557"/>
      <c r="G7" s="121"/>
      <c r="H7" s="536">
        <v>105367</v>
      </c>
    </row>
    <row r="8" spans="1:8" customFormat="1" ht="12.75" customHeight="1" x14ac:dyDescent="0.35">
      <c r="A8" s="294" t="s">
        <v>617</v>
      </c>
      <c r="B8" s="438" t="s">
        <v>1073</v>
      </c>
      <c r="C8" s="438"/>
      <c r="D8" s="557"/>
      <c r="E8" s="557"/>
      <c r="F8" s="557"/>
      <c r="G8" s="121"/>
      <c r="H8" s="536">
        <v>0</v>
      </c>
    </row>
    <row r="9" spans="1:8" customFormat="1" ht="12.75" customHeight="1" x14ac:dyDescent="0.35">
      <c r="A9" s="294" t="s">
        <v>619</v>
      </c>
      <c r="B9" s="438" t="s">
        <v>1074</v>
      </c>
      <c r="C9" s="438"/>
      <c r="D9" s="557"/>
      <c r="E9" s="557"/>
      <c r="F9" s="557"/>
      <c r="G9" s="121"/>
      <c r="H9" s="536">
        <v>11312</v>
      </c>
    </row>
    <row r="10" spans="1:8" customFormat="1" ht="12.75" customHeight="1" x14ac:dyDescent="0.35">
      <c r="A10" s="294" t="s">
        <v>621</v>
      </c>
      <c r="B10" s="438" t="s">
        <v>1075</v>
      </c>
      <c r="C10" s="438"/>
      <c r="D10" s="557"/>
      <c r="E10" s="557"/>
      <c r="F10" s="557"/>
      <c r="G10" s="121"/>
      <c r="H10" s="536">
        <v>0</v>
      </c>
    </row>
    <row r="11" spans="1:8" customFormat="1" ht="12.75" customHeight="1" x14ac:dyDescent="0.35">
      <c r="A11" s="294" t="s">
        <v>623</v>
      </c>
      <c r="B11" s="438" t="s">
        <v>1043</v>
      </c>
      <c r="C11" s="438"/>
      <c r="D11" s="557"/>
      <c r="E11" s="557"/>
      <c r="F11" s="557"/>
      <c r="G11" s="121"/>
      <c r="H11" s="536">
        <v>17416</v>
      </c>
    </row>
    <row r="12" spans="1:8" customFormat="1" ht="12.75" customHeight="1" x14ac:dyDescent="0.35">
      <c r="A12" s="294" t="s">
        <v>625</v>
      </c>
      <c r="B12" s="438" t="s">
        <v>1076</v>
      </c>
      <c r="C12" s="438"/>
      <c r="D12" s="557"/>
      <c r="E12" s="557"/>
      <c r="F12" s="557"/>
      <c r="G12" s="121"/>
      <c r="H12" s="536">
        <v>0</v>
      </c>
    </row>
    <row r="13" spans="1:8" customFormat="1" ht="12.75" customHeight="1" x14ac:dyDescent="0.35">
      <c r="A13" s="294" t="s">
        <v>689</v>
      </c>
      <c r="B13" s="438" t="s">
        <v>1064</v>
      </c>
      <c r="C13" s="438"/>
      <c r="D13" s="557"/>
      <c r="E13" s="557"/>
      <c r="F13" s="557"/>
      <c r="G13" s="121"/>
      <c r="H13" s="536">
        <v>0</v>
      </c>
    </row>
    <row r="14" spans="1:8" customFormat="1" ht="12.75" customHeight="1" x14ac:dyDescent="0.35">
      <c r="A14" s="294" t="s">
        <v>691</v>
      </c>
      <c r="B14" s="316" t="s">
        <v>1077</v>
      </c>
      <c r="C14" s="363"/>
      <c r="D14" s="363"/>
      <c r="E14" s="363"/>
      <c r="F14" s="363"/>
      <c r="G14" s="376"/>
      <c r="H14" s="415">
        <f>SUM(H6:H13)</f>
        <v>206796</v>
      </c>
    </row>
    <row r="15" spans="1:8" customFormat="1" ht="12.75" customHeight="1" x14ac:dyDescent="0.35">
      <c r="A15" s="294"/>
      <c r="B15" s="100"/>
      <c r="C15" s="359"/>
      <c r="D15" s="359"/>
      <c r="E15" s="359"/>
      <c r="F15" s="359"/>
      <c r="G15" s="4"/>
      <c r="H15" s="81"/>
    </row>
    <row r="16" spans="1:8" ht="13" x14ac:dyDescent="0.3">
      <c r="A16" s="294">
        <v>2</v>
      </c>
      <c r="B16" s="295" t="s">
        <v>767</v>
      </c>
      <c r="C16" s="369"/>
      <c r="D16" s="369"/>
      <c r="E16" s="388"/>
      <c r="F16" s="388"/>
      <c r="G16" s="389"/>
      <c r="H16" s="390"/>
    </row>
    <row r="17" spans="1:8" x14ac:dyDescent="0.25">
      <c r="A17" s="294" t="s">
        <v>628</v>
      </c>
      <c r="B17" s="438" t="s">
        <v>1078</v>
      </c>
      <c r="C17" s="301"/>
      <c r="D17" s="301"/>
      <c r="E17" s="367"/>
      <c r="F17" s="367"/>
      <c r="G17" s="368"/>
      <c r="H17" s="11">
        <v>0</v>
      </c>
    </row>
    <row r="18" spans="1:8" x14ac:dyDescent="0.25">
      <c r="A18" s="294" t="s">
        <v>630</v>
      </c>
      <c r="B18" s="438" t="s">
        <v>1079</v>
      </c>
      <c r="C18" s="301"/>
      <c r="D18" s="301"/>
      <c r="E18" s="367"/>
      <c r="F18" s="367"/>
      <c r="G18" s="368"/>
      <c r="H18" s="11">
        <v>10103</v>
      </c>
    </row>
    <row r="40" spans="3:3" x14ac:dyDescent="0.25">
      <c r="C40" s="141"/>
    </row>
  </sheetData>
  <sheetProtection algorithmName="SHA-512" hashValue="9P8ZBgykxw60EFAyedQxfLCXG0fyzIvv6gRZVZedmNXTjqfXKM9bgjgcVsfziK31VUF6gM78G4ghOzNK1nejGA==" saltValue="Ku0+l9Ck2nSQR0feQ02rhg==" spinCount="100000" sheet="1" objects="1"/>
  <dataValidations count="1">
    <dataValidation type="whole" operator="greaterThan" allowBlank="1" showInputMessage="1" showErrorMessage="1" errorTitle="Whole numbers only allowed" error="All monies should be independently rounded to the nearest £1,000." sqref="H6:H13 H17:I18" xr:uid="{00000000-0002-0000-0C00-000000000000}">
      <formula1>-99999999</formula1>
    </dataValidation>
  </dataValidations>
  <printOptions headings="1"/>
  <pageMargins left="0.70866141732283472" right="0.70866141732283472"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J43"/>
  <sheetViews>
    <sheetView workbookViewId="0">
      <selection activeCell="A10" sqref="A10 A10:H10"/>
    </sheetView>
  </sheetViews>
  <sheetFormatPr defaultColWidth="9.81640625" defaultRowHeight="12.5" x14ac:dyDescent="0.25"/>
  <cols>
    <col min="1" max="1" width="14.1796875" style="25" customWidth="1"/>
    <col min="2" max="2" width="2.81640625" style="25" customWidth="1"/>
    <col min="3" max="3" width="52.1796875" style="25" customWidth="1"/>
    <col min="4" max="4" width="2.453125" style="25" hidden="1" customWidth="1"/>
    <col min="5" max="7" width="2.54296875" style="25" hidden="1" customWidth="1"/>
    <col min="8" max="8" width="9.81640625" style="25" customWidth="1"/>
    <col min="9" max="16384" width="9.81640625" style="25"/>
  </cols>
  <sheetData>
    <row r="1" spans="1:10" customFormat="1" ht="15.5" customHeight="1" x14ac:dyDescent="0.35">
      <c r="A1" s="544" t="s">
        <v>1080</v>
      </c>
      <c r="B1" s="515" t="s">
        <v>1081</v>
      </c>
      <c r="C1" s="515"/>
      <c r="D1" s="515"/>
      <c r="E1" s="515"/>
      <c r="F1" s="515"/>
      <c r="G1" s="515"/>
      <c r="H1" s="278"/>
    </row>
    <row r="2" spans="1:10" customFormat="1" ht="15.5" hidden="1" customHeight="1" x14ac:dyDescent="0.35">
      <c r="A2" s="545"/>
      <c r="B2" s="546"/>
      <c r="C2" s="546"/>
      <c r="D2" s="546"/>
      <c r="E2" s="546"/>
      <c r="F2" s="546"/>
      <c r="G2" s="546"/>
      <c r="H2" s="552"/>
    </row>
    <row r="3" spans="1:10" customFormat="1" ht="17.25" hidden="1" customHeight="1" x14ac:dyDescent="0.35">
      <c r="A3" s="545"/>
      <c r="B3" s="546"/>
      <c r="C3" s="546"/>
      <c r="D3" s="546"/>
      <c r="E3" s="546"/>
      <c r="F3" s="546"/>
      <c r="G3" s="546"/>
      <c r="H3" s="552"/>
      <c r="J3" s="120"/>
    </row>
    <row r="4" spans="1:10" customFormat="1" ht="15.5" customHeight="1" x14ac:dyDescent="0.35">
      <c r="A4" s="547"/>
      <c r="B4" s="548"/>
      <c r="C4" s="548"/>
      <c r="D4" s="548"/>
      <c r="E4" s="548"/>
      <c r="F4" s="548"/>
      <c r="G4" s="558"/>
      <c r="H4" s="355" t="s">
        <v>607</v>
      </c>
    </row>
    <row r="5" spans="1:10" customFormat="1" ht="12.5" customHeight="1" x14ac:dyDescent="0.35">
      <c r="A5" s="559"/>
      <c r="B5" s="550" t="s">
        <v>1082</v>
      </c>
      <c r="C5" s="560"/>
      <c r="D5" s="560"/>
      <c r="E5" s="560"/>
      <c r="F5" s="560"/>
      <c r="G5" s="561"/>
      <c r="H5" s="562"/>
    </row>
    <row r="6" spans="1:10" customFormat="1" ht="12.5" customHeight="1" x14ac:dyDescent="0.35">
      <c r="A6" s="404" t="s">
        <v>613</v>
      </c>
      <c r="B6" s="470" t="s">
        <v>1083</v>
      </c>
      <c r="C6" s="470"/>
      <c r="D6" s="470"/>
      <c r="E6" s="469"/>
      <c r="F6" s="469"/>
      <c r="G6" s="110"/>
      <c r="H6" s="536">
        <v>0</v>
      </c>
    </row>
    <row r="7" spans="1:10" customFormat="1" ht="12.5" customHeight="1" x14ac:dyDescent="0.35">
      <c r="A7" s="404" t="s">
        <v>615</v>
      </c>
      <c r="B7" s="470" t="s">
        <v>1084</v>
      </c>
      <c r="C7" s="470"/>
      <c r="D7" s="470"/>
      <c r="E7" s="469"/>
      <c r="F7" s="469"/>
      <c r="G7" s="110"/>
      <c r="H7" s="536">
        <v>0</v>
      </c>
    </row>
    <row r="8" spans="1:10" customFormat="1" ht="12.5" customHeight="1" x14ac:dyDescent="0.35">
      <c r="A8" s="404" t="s">
        <v>617</v>
      </c>
      <c r="B8" s="470" t="s">
        <v>1085</v>
      </c>
      <c r="C8" s="470"/>
      <c r="D8" s="470"/>
      <c r="E8" s="469"/>
      <c r="F8" s="469"/>
      <c r="G8" s="110"/>
      <c r="H8" s="536">
        <v>0</v>
      </c>
    </row>
    <row r="9" spans="1:10" customFormat="1" ht="12.5" customHeight="1" x14ac:dyDescent="0.35">
      <c r="A9" s="404" t="s">
        <v>619</v>
      </c>
      <c r="B9" s="470" t="s">
        <v>1043</v>
      </c>
      <c r="C9" s="470"/>
      <c r="D9" s="470"/>
      <c r="E9" s="469"/>
      <c r="F9" s="469"/>
      <c r="G9" s="110"/>
      <c r="H9" s="536">
        <v>0</v>
      </c>
    </row>
    <row r="10" spans="1:10" customFormat="1" ht="12.5" customHeight="1" x14ac:dyDescent="0.35">
      <c r="A10" s="404" t="s">
        <v>621</v>
      </c>
      <c r="B10" s="470" t="s">
        <v>1064</v>
      </c>
      <c r="C10" s="470"/>
      <c r="D10" s="470"/>
      <c r="E10" s="469"/>
      <c r="F10" s="469"/>
      <c r="G10" s="110"/>
      <c r="H10" s="536">
        <v>0</v>
      </c>
    </row>
    <row r="11" spans="1:10" customFormat="1" ht="12.5" customHeight="1" x14ac:dyDescent="0.35">
      <c r="A11" s="404" t="s">
        <v>623</v>
      </c>
      <c r="B11" s="512" t="s">
        <v>1077</v>
      </c>
      <c r="C11" s="492"/>
      <c r="D11" s="492"/>
      <c r="E11" s="492"/>
      <c r="F11" s="492"/>
      <c r="G11" s="500"/>
      <c r="H11" s="488">
        <f>SUM(H6:H10)</f>
        <v>0</v>
      </c>
    </row>
    <row r="12" spans="1:10" x14ac:dyDescent="0.25">
      <c r="A12" s="84"/>
    </row>
    <row r="43" spans="3:3" x14ac:dyDescent="0.25">
      <c r="C43" s="141"/>
    </row>
  </sheetData>
  <sheetProtection algorithmName="SHA-512" hashValue="BsUZSBFvL9cdO+qQKIPRV1rltKsGXVtixHSKkT/IekdZ7SPMyW0UUR7YSG3EelsxzPAxM3PPmJ1HDFBDh6oKGA==" saltValue="Ukadr9YHBr2awYxgQX71Xw==" spinCount="100000" sheet="1" objects="1"/>
  <dataValidations count="1">
    <dataValidation type="whole" operator="greaterThan" allowBlank="1" showInputMessage="1" showErrorMessage="1" errorTitle="Whole numbers only allowed" error="All monies should be independently rounded to the nearest £1,000." sqref="H6:H10 GC6:GC10 PY6:PY10 ZU6:ZU10 AJQ6:AJQ10 ATM6:ATM10 BDI6:BDI10 BNE6:BNE10 BXA6:BXA10 CGW6:CGW10 CQS6:CQS10 DAO6:DAO10 DKK6:DKK10 DUG6:DUG10 EEC6:EEC10 ENY6:ENY10 EXU6:EXU10 FHQ6:FHQ10 FRM6:FRM10 GBI6:GBI10 GLE6:GLE10 GVA6:GVA10 HEW6:HEW10 HOS6:HOS10 HYO6:HYO10 IIK6:IIK10 ISG6:ISG10 JCC6:JCC10 JLY6:JLY10 JVU6:JVU10 KFQ6:KFQ10 KPM6:KPM10 KZI6:KZI10 LJE6:LJE10 LTA6:LTA10 MCW6:MCW10 MMS6:MMS10 MWO6:MWO10 NGK6:NGK10 NQG6:NQG10 OAC6:OAC10 OJY6:OJY10 OTU6:OTU10 PDQ6:PDQ10 PNM6:PNM10 PXI6:PXI10 QHE6:QHE10 QRA6:QRA10 RAW6:RAW10 RKS6:RKS10 RUO6:RUO10 SEK6:SEK10 SOG6:SOG10 SYC6:SYC10 THY6:THY10 TRU6:TRU10 UBQ6:UBQ10 ULM6:ULM10 UVI6:UVI10 VFE6:VFE10 VPA6:VPA10 VYW6:VYW10 WIS6:WIS10 WSO6:WSO10" xr:uid="{00000000-0002-0000-0D00-000000000000}">
      <formula1>-99999999</formula1>
    </dataValidation>
  </dataValidations>
  <printOptions headings="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P106"/>
  <sheetViews>
    <sheetView tabSelected="1" zoomScale="90" zoomScaleNormal="90" workbookViewId="0">
      <pane ySplit="4" topLeftCell="A71" activePane="bottomLeft" state="frozenSplit"/>
      <selection activeCell="P23" sqref="P23 P23:Q23"/>
      <selection pane="bottomLeft" activeCell="L92" sqref="L92"/>
    </sheetView>
  </sheetViews>
  <sheetFormatPr defaultColWidth="9.1796875" defaultRowHeight="13" x14ac:dyDescent="0.3"/>
  <cols>
    <col min="1" max="1" width="10" style="84" bestFit="1" customWidth="1"/>
    <col min="2" max="2" width="3" style="27" customWidth="1"/>
    <col min="3" max="3" width="3.453125" style="27" customWidth="1"/>
    <col min="4" max="4" width="89.1796875" style="27" customWidth="1"/>
    <col min="5" max="7" width="2.453125" style="27" hidden="1" customWidth="1"/>
    <col min="8" max="8" width="13.1796875" style="27" customWidth="1"/>
    <col min="9" max="9" width="10.81640625" style="27" customWidth="1"/>
    <col min="10" max="10" width="10.453125" style="27" customWidth="1"/>
    <col min="11" max="11" width="15.1796875" style="27" customWidth="1"/>
    <col min="12" max="12" width="14.81640625" style="27" customWidth="1"/>
    <col min="13" max="13" width="16.453125" style="27" bestFit="1" customWidth="1"/>
    <col min="14" max="14" width="16.1796875" style="123" customWidth="1"/>
    <col min="15" max="15" width="14.81640625" style="27" customWidth="1"/>
    <col min="16" max="16" width="9.1796875" style="27" customWidth="1"/>
    <col min="17" max="16384" width="9.1796875" style="27"/>
  </cols>
  <sheetData>
    <row r="1" spans="1:16" customFormat="1" ht="15" customHeight="1" x14ac:dyDescent="0.35">
      <c r="A1" s="563" t="s">
        <v>1086</v>
      </c>
      <c r="B1" s="381" t="s">
        <v>1087</v>
      </c>
      <c r="C1" s="381"/>
      <c r="D1" s="381"/>
      <c r="E1" s="381"/>
      <c r="F1" s="381"/>
      <c r="G1" s="381"/>
      <c r="H1" s="708" t="s">
        <v>627</v>
      </c>
      <c r="I1" s="709"/>
      <c r="J1" s="709"/>
      <c r="K1" s="709"/>
      <c r="L1" s="709"/>
      <c r="M1" s="709"/>
      <c r="N1" s="709"/>
      <c r="O1" s="710"/>
      <c r="P1" s="25"/>
    </row>
    <row r="2" spans="1:16" customFormat="1" ht="15" customHeight="1" x14ac:dyDescent="0.35">
      <c r="A2" s="394"/>
      <c r="B2" s="384"/>
      <c r="C2" s="384"/>
      <c r="D2" s="384"/>
      <c r="E2" s="384"/>
      <c r="F2" s="384"/>
      <c r="G2" s="384"/>
      <c r="H2" s="564">
        <v>1</v>
      </c>
      <c r="I2" s="564">
        <v>2</v>
      </c>
      <c r="J2" s="564">
        <v>3</v>
      </c>
      <c r="K2" s="564">
        <v>4</v>
      </c>
      <c r="L2" s="564">
        <v>5</v>
      </c>
      <c r="M2" s="564">
        <v>6</v>
      </c>
      <c r="N2" s="565">
        <v>7</v>
      </c>
      <c r="O2" s="564">
        <v>8</v>
      </c>
      <c r="P2" s="25"/>
    </row>
    <row r="3" spans="1:16" customFormat="1" ht="45" customHeight="1" x14ac:dyDescent="0.35">
      <c r="A3" s="424"/>
      <c r="B3" s="425"/>
      <c r="C3" s="425"/>
      <c r="D3" s="384"/>
      <c r="E3" s="425"/>
      <c r="F3" s="425"/>
      <c r="G3" s="426"/>
      <c r="H3" s="566" t="s">
        <v>1088</v>
      </c>
      <c r="I3" s="566" t="s">
        <v>1089</v>
      </c>
      <c r="J3" s="566" t="s">
        <v>1090</v>
      </c>
      <c r="K3" s="566" t="s">
        <v>631</v>
      </c>
      <c r="L3" s="566" t="s">
        <v>633</v>
      </c>
      <c r="M3" s="566" t="s">
        <v>635</v>
      </c>
      <c r="N3" s="566" t="s">
        <v>637</v>
      </c>
      <c r="O3" s="566" t="s">
        <v>639</v>
      </c>
      <c r="P3" s="25"/>
    </row>
    <row r="4" spans="1:16" customFormat="1" ht="15" customHeight="1" x14ac:dyDescent="0.35">
      <c r="A4" s="567"/>
      <c r="B4" s="568"/>
      <c r="C4" s="568"/>
      <c r="D4" s="568"/>
      <c r="E4" s="568"/>
      <c r="F4" s="568"/>
      <c r="G4" s="569"/>
      <c r="H4" s="432" t="s">
        <v>607</v>
      </c>
      <c r="I4" s="432" t="s">
        <v>607</v>
      </c>
      <c r="J4" s="432" t="s">
        <v>607</v>
      </c>
      <c r="K4" s="432" t="s">
        <v>607</v>
      </c>
      <c r="L4" s="432" t="s">
        <v>607</v>
      </c>
      <c r="M4" s="432" t="s">
        <v>607</v>
      </c>
      <c r="N4" s="432" t="s">
        <v>607</v>
      </c>
      <c r="O4" s="432" t="s">
        <v>607</v>
      </c>
      <c r="P4" s="25"/>
    </row>
    <row r="5" spans="1:16" customFormat="1" ht="12.75" customHeight="1" x14ac:dyDescent="0.35">
      <c r="A5" s="294">
        <v>1</v>
      </c>
      <c r="B5" s="434" t="s">
        <v>868</v>
      </c>
      <c r="C5" s="435"/>
      <c r="D5" s="435"/>
      <c r="E5" s="435"/>
      <c r="F5" s="435"/>
      <c r="G5" s="436"/>
      <c r="H5" s="298"/>
      <c r="I5" s="298"/>
      <c r="J5" s="298"/>
      <c r="K5" s="298"/>
      <c r="L5" s="298"/>
      <c r="M5" s="298"/>
      <c r="N5" s="570"/>
      <c r="O5" s="298"/>
      <c r="P5" s="25"/>
    </row>
    <row r="6" spans="1:16" customFormat="1" ht="12.75" customHeight="1" x14ac:dyDescent="0.35">
      <c r="A6" s="294" t="s">
        <v>613</v>
      </c>
      <c r="B6" s="444"/>
      <c r="C6" s="438" t="s">
        <v>869</v>
      </c>
      <c r="D6" s="439"/>
      <c r="E6" s="439"/>
      <c r="F6" s="439"/>
      <c r="G6" s="440"/>
      <c r="H6" s="304">
        <v>54935</v>
      </c>
      <c r="I6" s="304">
        <v>30563</v>
      </c>
      <c r="J6" s="415">
        <f t="shared" ref="J6:J50" si="0">SUM(H6:I6)</f>
        <v>85498</v>
      </c>
      <c r="K6" s="571" t="s">
        <v>1091</v>
      </c>
      <c r="L6" s="304">
        <v>14110</v>
      </c>
      <c r="M6" s="304">
        <v>3261</v>
      </c>
      <c r="N6" s="571" t="s">
        <v>1091</v>
      </c>
      <c r="O6" s="415">
        <f t="shared" ref="O6:O51" si="1">SUM(J6:M6)</f>
        <v>102869</v>
      </c>
      <c r="P6" s="25"/>
    </row>
    <row r="7" spans="1:16" customFormat="1" ht="12.75" customHeight="1" x14ac:dyDescent="0.35">
      <c r="A7" s="294" t="s">
        <v>615</v>
      </c>
      <c r="B7" s="444"/>
      <c r="C7" s="438" t="s">
        <v>870</v>
      </c>
      <c r="D7" s="439"/>
      <c r="E7" s="439"/>
      <c r="F7" s="439"/>
      <c r="G7" s="440"/>
      <c r="H7" s="304">
        <v>966</v>
      </c>
      <c r="I7" s="304">
        <v>142</v>
      </c>
      <c r="J7" s="415">
        <f t="shared" si="0"/>
        <v>1108</v>
      </c>
      <c r="K7" s="571" t="s">
        <v>1091</v>
      </c>
      <c r="L7" s="304">
        <v>357</v>
      </c>
      <c r="M7" s="304">
        <v>0</v>
      </c>
      <c r="N7" s="571" t="s">
        <v>1091</v>
      </c>
      <c r="O7" s="415">
        <f t="shared" si="1"/>
        <v>1465</v>
      </c>
      <c r="P7" s="25"/>
    </row>
    <row r="8" spans="1:16" customFormat="1" ht="12.75" customHeight="1" x14ac:dyDescent="0.35">
      <c r="A8" s="294" t="s">
        <v>617</v>
      </c>
      <c r="B8" s="444"/>
      <c r="C8" s="438" t="s">
        <v>871</v>
      </c>
      <c r="D8" s="439"/>
      <c r="E8" s="439"/>
      <c r="F8" s="439"/>
      <c r="G8" s="440"/>
      <c r="H8" s="304">
        <v>1712</v>
      </c>
      <c r="I8" s="304">
        <v>1924</v>
      </c>
      <c r="J8" s="415">
        <f t="shared" si="0"/>
        <v>3636</v>
      </c>
      <c r="K8" s="571" t="s">
        <v>1091</v>
      </c>
      <c r="L8" s="304">
        <v>277</v>
      </c>
      <c r="M8" s="304">
        <v>5</v>
      </c>
      <c r="N8" s="571" t="s">
        <v>1091</v>
      </c>
      <c r="O8" s="415">
        <f t="shared" si="1"/>
        <v>3918</v>
      </c>
      <c r="P8" s="25"/>
    </row>
    <row r="9" spans="1:16" customFormat="1" ht="12.75" customHeight="1" x14ac:dyDescent="0.35">
      <c r="A9" s="294" t="s">
        <v>619</v>
      </c>
      <c r="B9" s="444"/>
      <c r="C9" s="438" t="s">
        <v>872</v>
      </c>
      <c r="D9" s="439"/>
      <c r="E9" s="439"/>
      <c r="F9" s="439"/>
      <c r="G9" s="440"/>
      <c r="H9" s="304">
        <v>10409</v>
      </c>
      <c r="I9" s="304">
        <v>261</v>
      </c>
      <c r="J9" s="415">
        <f t="shared" si="0"/>
        <v>10670</v>
      </c>
      <c r="K9" s="571" t="s">
        <v>1091</v>
      </c>
      <c r="L9" s="304">
        <v>82</v>
      </c>
      <c r="M9" s="304">
        <v>0</v>
      </c>
      <c r="N9" s="571" t="s">
        <v>1091</v>
      </c>
      <c r="O9" s="415">
        <f t="shared" si="1"/>
        <v>10752</v>
      </c>
      <c r="P9" s="25"/>
    </row>
    <row r="10" spans="1:16" customFormat="1" ht="12.75" customHeight="1" x14ac:dyDescent="0.35">
      <c r="A10" s="294" t="s">
        <v>621</v>
      </c>
      <c r="B10" s="444"/>
      <c r="C10" s="438" t="s">
        <v>873</v>
      </c>
      <c r="D10" s="439"/>
      <c r="E10" s="439"/>
      <c r="F10" s="439"/>
      <c r="G10" s="440"/>
      <c r="H10" s="304">
        <v>0</v>
      </c>
      <c r="I10" s="304">
        <v>0</v>
      </c>
      <c r="J10" s="415">
        <f t="shared" si="0"/>
        <v>0</v>
      </c>
      <c r="K10" s="571" t="s">
        <v>1091</v>
      </c>
      <c r="L10" s="304">
        <v>0</v>
      </c>
      <c r="M10" s="304">
        <v>0</v>
      </c>
      <c r="N10" s="571" t="s">
        <v>1091</v>
      </c>
      <c r="O10" s="415">
        <f t="shared" si="1"/>
        <v>0</v>
      </c>
      <c r="P10" s="25"/>
    </row>
    <row r="11" spans="1:16" customFormat="1" ht="12.75" customHeight="1" x14ac:dyDescent="0.35">
      <c r="A11" s="294" t="s">
        <v>623</v>
      </c>
      <c r="B11" s="444"/>
      <c r="C11" s="438" t="s">
        <v>874</v>
      </c>
      <c r="D11" s="439"/>
      <c r="E11" s="439"/>
      <c r="F11" s="439"/>
      <c r="G11" s="440"/>
      <c r="H11" s="304">
        <v>0</v>
      </c>
      <c r="I11" s="304">
        <v>0</v>
      </c>
      <c r="J11" s="415">
        <f t="shared" si="0"/>
        <v>0</v>
      </c>
      <c r="K11" s="571" t="s">
        <v>1091</v>
      </c>
      <c r="L11" s="304">
        <v>0</v>
      </c>
      <c r="M11" s="304">
        <v>0</v>
      </c>
      <c r="N11" s="571" t="s">
        <v>1091</v>
      </c>
      <c r="O11" s="415">
        <f t="shared" si="1"/>
        <v>0</v>
      </c>
      <c r="P11" s="25"/>
    </row>
    <row r="12" spans="1:16" customFormat="1" ht="12.75" customHeight="1" x14ac:dyDescent="0.35">
      <c r="A12" s="294" t="s">
        <v>625</v>
      </c>
      <c r="B12" s="444"/>
      <c r="C12" s="438" t="s">
        <v>875</v>
      </c>
      <c r="D12" s="439"/>
      <c r="E12" s="439"/>
      <c r="F12" s="439"/>
      <c r="G12" s="440"/>
      <c r="H12" s="304">
        <v>0</v>
      </c>
      <c r="I12" s="304">
        <v>0</v>
      </c>
      <c r="J12" s="415">
        <f t="shared" si="0"/>
        <v>0</v>
      </c>
      <c r="K12" s="571" t="s">
        <v>1091</v>
      </c>
      <c r="L12" s="304">
        <v>0</v>
      </c>
      <c r="M12" s="304">
        <v>0</v>
      </c>
      <c r="N12" s="571" t="s">
        <v>1091</v>
      </c>
      <c r="O12" s="415">
        <f t="shared" si="1"/>
        <v>0</v>
      </c>
      <c r="P12" s="25"/>
    </row>
    <row r="13" spans="1:16" customFormat="1" ht="12.75" customHeight="1" x14ac:dyDescent="0.35">
      <c r="A13" s="294" t="s">
        <v>689</v>
      </c>
      <c r="B13" s="444"/>
      <c r="C13" s="438" t="s">
        <v>876</v>
      </c>
      <c r="D13" s="439"/>
      <c r="E13" s="439"/>
      <c r="F13" s="439"/>
      <c r="G13" s="440"/>
      <c r="H13" s="304">
        <v>0</v>
      </c>
      <c r="I13" s="304">
        <v>0</v>
      </c>
      <c r="J13" s="415">
        <f t="shared" si="0"/>
        <v>0</v>
      </c>
      <c r="K13" s="571" t="s">
        <v>1091</v>
      </c>
      <c r="L13" s="304">
        <v>0</v>
      </c>
      <c r="M13" s="304">
        <v>0</v>
      </c>
      <c r="N13" s="571" t="s">
        <v>1091</v>
      </c>
      <c r="O13" s="415">
        <f t="shared" si="1"/>
        <v>0</v>
      </c>
      <c r="P13" s="25"/>
    </row>
    <row r="14" spans="1:16" customFormat="1" ht="12.75" customHeight="1" x14ac:dyDescent="0.35">
      <c r="A14" s="294" t="s">
        <v>691</v>
      </c>
      <c r="B14" s="444"/>
      <c r="C14" s="438" t="s">
        <v>877</v>
      </c>
      <c r="D14" s="439"/>
      <c r="E14" s="439"/>
      <c r="F14" s="439"/>
      <c r="G14" s="440"/>
      <c r="H14" s="304">
        <v>23106</v>
      </c>
      <c r="I14" s="304">
        <v>17866</v>
      </c>
      <c r="J14" s="415">
        <f t="shared" si="0"/>
        <v>40972</v>
      </c>
      <c r="K14" s="571" t="s">
        <v>1091</v>
      </c>
      <c r="L14" s="304">
        <v>13414</v>
      </c>
      <c r="M14" s="304">
        <v>2774</v>
      </c>
      <c r="N14" s="571" t="s">
        <v>1091</v>
      </c>
      <c r="O14" s="415">
        <f t="shared" si="1"/>
        <v>57160</v>
      </c>
      <c r="P14" s="25"/>
    </row>
    <row r="15" spans="1:16" customFormat="1" ht="12.75" customHeight="1" x14ac:dyDescent="0.35">
      <c r="A15" s="294" t="s">
        <v>693</v>
      </c>
      <c r="B15" s="444"/>
      <c r="C15" s="438" t="s">
        <v>878</v>
      </c>
      <c r="D15" s="439"/>
      <c r="E15" s="439"/>
      <c r="F15" s="439"/>
      <c r="G15" s="440"/>
      <c r="H15" s="304">
        <v>0</v>
      </c>
      <c r="I15" s="304">
        <v>0</v>
      </c>
      <c r="J15" s="415">
        <f t="shared" si="0"/>
        <v>0</v>
      </c>
      <c r="K15" s="571" t="s">
        <v>1091</v>
      </c>
      <c r="L15" s="304">
        <v>0</v>
      </c>
      <c r="M15" s="304">
        <v>0</v>
      </c>
      <c r="N15" s="571" t="s">
        <v>1091</v>
      </c>
      <c r="O15" s="415">
        <f t="shared" si="1"/>
        <v>0</v>
      </c>
      <c r="P15" s="25"/>
    </row>
    <row r="16" spans="1:16" customFormat="1" ht="12.75" customHeight="1" x14ac:dyDescent="0.35">
      <c r="A16" s="294" t="s">
        <v>695</v>
      </c>
      <c r="B16" s="444"/>
      <c r="C16" s="438" t="s">
        <v>879</v>
      </c>
      <c r="D16" s="439"/>
      <c r="E16" s="439"/>
      <c r="F16" s="439"/>
      <c r="G16" s="440"/>
      <c r="H16" s="304">
        <v>8857</v>
      </c>
      <c r="I16" s="304">
        <v>5690</v>
      </c>
      <c r="J16" s="415">
        <f t="shared" si="0"/>
        <v>14547</v>
      </c>
      <c r="K16" s="571" t="s">
        <v>1091</v>
      </c>
      <c r="L16" s="304">
        <v>4335</v>
      </c>
      <c r="M16" s="304">
        <v>72</v>
      </c>
      <c r="N16" s="571" t="s">
        <v>1091</v>
      </c>
      <c r="O16" s="415">
        <f t="shared" si="1"/>
        <v>18954</v>
      </c>
      <c r="P16" s="25"/>
    </row>
    <row r="17" spans="1:16" customFormat="1" ht="12.75" customHeight="1" x14ac:dyDescent="0.35">
      <c r="A17" s="294" t="s">
        <v>880</v>
      </c>
      <c r="B17" s="444"/>
      <c r="C17" s="438" t="s">
        <v>881</v>
      </c>
      <c r="D17" s="439"/>
      <c r="E17" s="439"/>
      <c r="F17" s="439"/>
      <c r="G17" s="440"/>
      <c r="H17" s="304">
        <v>26936</v>
      </c>
      <c r="I17" s="304">
        <v>10861</v>
      </c>
      <c r="J17" s="415">
        <f t="shared" si="0"/>
        <v>37797</v>
      </c>
      <c r="K17" s="571" t="s">
        <v>1091</v>
      </c>
      <c r="L17" s="304">
        <v>20496</v>
      </c>
      <c r="M17" s="304">
        <v>2048</v>
      </c>
      <c r="N17" s="571" t="s">
        <v>1091</v>
      </c>
      <c r="O17" s="415">
        <f t="shared" si="1"/>
        <v>60341</v>
      </c>
      <c r="P17" s="25"/>
    </row>
    <row r="18" spans="1:16" customFormat="1" ht="12.75" customHeight="1" x14ac:dyDescent="0.35">
      <c r="A18" s="294" t="s">
        <v>882</v>
      </c>
      <c r="B18" s="444"/>
      <c r="C18" s="438" t="s">
        <v>883</v>
      </c>
      <c r="D18" s="439"/>
      <c r="E18" s="439"/>
      <c r="F18" s="439"/>
      <c r="G18" s="440"/>
      <c r="H18" s="304">
        <v>638</v>
      </c>
      <c r="I18" s="304">
        <v>2673</v>
      </c>
      <c r="J18" s="415">
        <f t="shared" si="0"/>
        <v>3311</v>
      </c>
      <c r="K18" s="571" t="s">
        <v>1091</v>
      </c>
      <c r="L18" s="304">
        <v>4248</v>
      </c>
      <c r="M18" s="304">
        <v>1195</v>
      </c>
      <c r="N18" s="571" t="s">
        <v>1091</v>
      </c>
      <c r="O18" s="415">
        <f t="shared" si="1"/>
        <v>8754</v>
      </c>
      <c r="P18" s="25"/>
    </row>
    <row r="19" spans="1:16" customFormat="1" ht="12.75" customHeight="1" x14ac:dyDescent="0.35">
      <c r="A19" s="294" t="s">
        <v>884</v>
      </c>
      <c r="B19" s="444"/>
      <c r="C19" s="438" t="s">
        <v>885</v>
      </c>
      <c r="D19" s="439"/>
      <c r="E19" s="439"/>
      <c r="F19" s="439"/>
      <c r="G19" s="440"/>
      <c r="H19" s="304">
        <v>11508</v>
      </c>
      <c r="I19" s="304">
        <v>10140</v>
      </c>
      <c r="J19" s="415">
        <f t="shared" si="0"/>
        <v>21648</v>
      </c>
      <c r="K19" s="571" t="s">
        <v>1091</v>
      </c>
      <c r="L19" s="304">
        <v>18120</v>
      </c>
      <c r="M19" s="304">
        <v>9999</v>
      </c>
      <c r="N19" s="571" t="s">
        <v>1091</v>
      </c>
      <c r="O19" s="415">
        <f t="shared" si="1"/>
        <v>49767</v>
      </c>
      <c r="P19" s="25"/>
    </row>
    <row r="20" spans="1:16" customFormat="1" ht="12.75" customHeight="1" x14ac:dyDescent="0.35">
      <c r="A20" s="294" t="s">
        <v>886</v>
      </c>
      <c r="B20" s="444"/>
      <c r="C20" s="438" t="s">
        <v>887</v>
      </c>
      <c r="D20" s="439"/>
      <c r="E20" s="439"/>
      <c r="F20" s="439"/>
      <c r="G20" s="440"/>
      <c r="H20" s="304">
        <v>885</v>
      </c>
      <c r="I20" s="304">
        <v>54</v>
      </c>
      <c r="J20" s="415">
        <f t="shared" si="0"/>
        <v>939</v>
      </c>
      <c r="K20" s="571" t="s">
        <v>1091</v>
      </c>
      <c r="L20" s="304">
        <v>138</v>
      </c>
      <c r="M20" s="304">
        <v>63</v>
      </c>
      <c r="N20" s="571" t="s">
        <v>1091</v>
      </c>
      <c r="O20" s="415">
        <f t="shared" si="1"/>
        <v>1140</v>
      </c>
      <c r="P20" s="25"/>
    </row>
    <row r="21" spans="1:16" customFormat="1" ht="12.75" customHeight="1" x14ac:dyDescent="0.35">
      <c r="A21" s="294" t="s">
        <v>888</v>
      </c>
      <c r="B21" s="444"/>
      <c r="C21" s="438" t="s">
        <v>889</v>
      </c>
      <c r="D21" s="439"/>
      <c r="E21" s="439"/>
      <c r="F21" s="439"/>
      <c r="G21" s="440"/>
      <c r="H21" s="304">
        <v>833</v>
      </c>
      <c r="I21" s="304">
        <v>0</v>
      </c>
      <c r="J21" s="415">
        <f t="shared" si="0"/>
        <v>833</v>
      </c>
      <c r="K21" s="571" t="s">
        <v>1091</v>
      </c>
      <c r="L21" s="304">
        <v>1719</v>
      </c>
      <c r="M21" s="304">
        <v>0</v>
      </c>
      <c r="N21" s="571" t="s">
        <v>1091</v>
      </c>
      <c r="O21" s="415">
        <f t="shared" si="1"/>
        <v>2552</v>
      </c>
      <c r="P21" s="25"/>
    </row>
    <row r="22" spans="1:16" customFormat="1" ht="12.75" customHeight="1" x14ac:dyDescent="0.35">
      <c r="A22" s="294" t="s">
        <v>890</v>
      </c>
      <c r="B22" s="444"/>
      <c r="C22" s="438" t="s">
        <v>891</v>
      </c>
      <c r="D22" s="439"/>
      <c r="E22" s="439"/>
      <c r="F22" s="439"/>
      <c r="G22" s="440"/>
      <c r="H22" s="304">
        <v>0</v>
      </c>
      <c r="I22" s="304">
        <v>0</v>
      </c>
      <c r="J22" s="415">
        <f t="shared" si="0"/>
        <v>0</v>
      </c>
      <c r="K22" s="571" t="s">
        <v>1091</v>
      </c>
      <c r="L22" s="304">
        <v>0</v>
      </c>
      <c r="M22" s="304">
        <v>0</v>
      </c>
      <c r="N22" s="571" t="s">
        <v>1091</v>
      </c>
      <c r="O22" s="415">
        <f t="shared" si="1"/>
        <v>0</v>
      </c>
      <c r="P22" s="25"/>
    </row>
    <row r="23" spans="1:16" customFormat="1" ht="12.75" customHeight="1" x14ac:dyDescent="0.35">
      <c r="A23" s="294" t="s">
        <v>892</v>
      </c>
      <c r="B23" s="444"/>
      <c r="C23" s="438" t="s">
        <v>893</v>
      </c>
      <c r="D23" s="439"/>
      <c r="E23" s="439"/>
      <c r="F23" s="439"/>
      <c r="G23" s="440"/>
      <c r="H23" s="304">
        <v>6708</v>
      </c>
      <c r="I23" s="304">
        <v>6605</v>
      </c>
      <c r="J23" s="415">
        <f t="shared" si="0"/>
        <v>13313</v>
      </c>
      <c r="K23" s="571" t="s">
        <v>1091</v>
      </c>
      <c r="L23" s="304">
        <v>3563</v>
      </c>
      <c r="M23" s="304">
        <v>1465</v>
      </c>
      <c r="N23" s="571" t="s">
        <v>1091</v>
      </c>
      <c r="O23" s="415">
        <f t="shared" si="1"/>
        <v>18341</v>
      </c>
      <c r="P23" s="25"/>
    </row>
    <row r="24" spans="1:16" customFormat="1" ht="12.75" customHeight="1" x14ac:dyDescent="0.35">
      <c r="A24" s="294" t="s">
        <v>894</v>
      </c>
      <c r="B24" s="444"/>
      <c r="C24" s="438" t="s">
        <v>895</v>
      </c>
      <c r="D24" s="439"/>
      <c r="E24" s="439"/>
      <c r="F24" s="439"/>
      <c r="G24" s="440"/>
      <c r="H24" s="304">
        <v>4491</v>
      </c>
      <c r="I24" s="304">
        <v>-3</v>
      </c>
      <c r="J24" s="415">
        <f t="shared" si="0"/>
        <v>4488</v>
      </c>
      <c r="K24" s="571" t="s">
        <v>1091</v>
      </c>
      <c r="L24" s="304">
        <v>2768</v>
      </c>
      <c r="M24" s="304">
        <v>3</v>
      </c>
      <c r="N24" s="571" t="s">
        <v>1091</v>
      </c>
      <c r="O24" s="415">
        <f t="shared" si="1"/>
        <v>7259</v>
      </c>
      <c r="P24" s="25"/>
    </row>
    <row r="25" spans="1:16" customFormat="1" ht="12.75" customHeight="1" x14ac:dyDescent="0.35">
      <c r="A25" s="294" t="s">
        <v>896</v>
      </c>
      <c r="B25" s="444"/>
      <c r="C25" s="438" t="s">
        <v>897</v>
      </c>
      <c r="D25" s="439"/>
      <c r="E25" s="439"/>
      <c r="F25" s="439"/>
      <c r="G25" s="440"/>
      <c r="H25" s="304">
        <v>2990</v>
      </c>
      <c r="I25" s="304">
        <v>5</v>
      </c>
      <c r="J25" s="415">
        <f t="shared" si="0"/>
        <v>2995</v>
      </c>
      <c r="K25" s="571" t="s">
        <v>1091</v>
      </c>
      <c r="L25" s="304">
        <v>1811</v>
      </c>
      <c r="M25" s="304">
        <v>14</v>
      </c>
      <c r="N25" s="571" t="s">
        <v>1091</v>
      </c>
      <c r="O25" s="415">
        <f t="shared" si="1"/>
        <v>4820</v>
      </c>
      <c r="P25" s="25"/>
    </row>
    <row r="26" spans="1:16" customFormat="1" ht="12.75" customHeight="1" x14ac:dyDescent="0.35">
      <c r="A26" s="294" t="s">
        <v>898</v>
      </c>
      <c r="B26" s="444"/>
      <c r="C26" s="438" t="s">
        <v>899</v>
      </c>
      <c r="D26" s="439"/>
      <c r="E26" s="439"/>
      <c r="F26" s="439"/>
      <c r="G26" s="440"/>
      <c r="H26" s="304">
        <v>13322</v>
      </c>
      <c r="I26" s="304">
        <v>9354</v>
      </c>
      <c r="J26" s="415">
        <f t="shared" si="0"/>
        <v>22676</v>
      </c>
      <c r="K26" s="571" t="s">
        <v>1091</v>
      </c>
      <c r="L26" s="304">
        <v>9290</v>
      </c>
      <c r="M26" s="304">
        <v>738</v>
      </c>
      <c r="N26" s="571" t="s">
        <v>1091</v>
      </c>
      <c r="O26" s="415">
        <f t="shared" si="1"/>
        <v>32704</v>
      </c>
      <c r="P26" s="25"/>
    </row>
    <row r="27" spans="1:16" customFormat="1" ht="12.75" customHeight="1" x14ac:dyDescent="0.35">
      <c r="A27" s="294" t="s">
        <v>900</v>
      </c>
      <c r="B27" s="444"/>
      <c r="C27" s="438" t="s">
        <v>901</v>
      </c>
      <c r="D27" s="439"/>
      <c r="E27" s="439"/>
      <c r="F27" s="439"/>
      <c r="G27" s="440"/>
      <c r="H27" s="304">
        <v>10310</v>
      </c>
      <c r="I27" s="304">
        <v>2810</v>
      </c>
      <c r="J27" s="415">
        <f t="shared" si="0"/>
        <v>13120</v>
      </c>
      <c r="K27" s="571" t="s">
        <v>1091</v>
      </c>
      <c r="L27" s="304">
        <v>5206</v>
      </c>
      <c r="M27" s="304">
        <v>5</v>
      </c>
      <c r="N27" s="571" t="s">
        <v>1091</v>
      </c>
      <c r="O27" s="415">
        <f t="shared" si="1"/>
        <v>18331</v>
      </c>
      <c r="P27" s="25"/>
    </row>
    <row r="28" spans="1:16" customFormat="1" ht="12.75" customHeight="1" x14ac:dyDescent="0.35">
      <c r="A28" s="294" t="s">
        <v>902</v>
      </c>
      <c r="B28" s="444"/>
      <c r="C28" s="438" t="s">
        <v>903</v>
      </c>
      <c r="D28" s="439"/>
      <c r="E28" s="439"/>
      <c r="F28" s="439"/>
      <c r="G28" s="440"/>
      <c r="H28" s="304">
        <v>5814</v>
      </c>
      <c r="I28" s="304">
        <v>30</v>
      </c>
      <c r="J28" s="415">
        <f t="shared" si="0"/>
        <v>5844</v>
      </c>
      <c r="K28" s="571" t="s">
        <v>1091</v>
      </c>
      <c r="L28" s="304">
        <v>411</v>
      </c>
      <c r="M28" s="304">
        <v>0</v>
      </c>
      <c r="N28" s="571" t="s">
        <v>1091</v>
      </c>
      <c r="O28" s="415">
        <f t="shared" si="1"/>
        <v>6255</v>
      </c>
      <c r="P28" s="25"/>
    </row>
    <row r="29" spans="1:16" customFormat="1" ht="12.75" customHeight="1" x14ac:dyDescent="0.35">
      <c r="A29" s="294" t="s">
        <v>904</v>
      </c>
      <c r="B29" s="444"/>
      <c r="C29" s="438" t="s">
        <v>905</v>
      </c>
      <c r="D29" s="439"/>
      <c r="E29" s="439"/>
      <c r="F29" s="439"/>
      <c r="G29" s="440"/>
      <c r="H29" s="304">
        <v>3987</v>
      </c>
      <c r="I29" s="304">
        <v>114</v>
      </c>
      <c r="J29" s="415">
        <f t="shared" si="0"/>
        <v>4101</v>
      </c>
      <c r="K29" s="571" t="s">
        <v>1091</v>
      </c>
      <c r="L29" s="304">
        <v>2000</v>
      </c>
      <c r="M29" s="304">
        <v>0</v>
      </c>
      <c r="N29" s="571" t="s">
        <v>1091</v>
      </c>
      <c r="O29" s="415">
        <f t="shared" si="1"/>
        <v>6101</v>
      </c>
      <c r="P29" s="25"/>
    </row>
    <row r="30" spans="1:16" customFormat="1" ht="12.75" customHeight="1" x14ac:dyDescent="0.35">
      <c r="A30" s="294" t="s">
        <v>906</v>
      </c>
      <c r="B30" s="444"/>
      <c r="C30" s="438" t="s">
        <v>907</v>
      </c>
      <c r="D30" s="439"/>
      <c r="E30" s="439"/>
      <c r="F30" s="439"/>
      <c r="G30" s="440"/>
      <c r="H30" s="304">
        <v>4675</v>
      </c>
      <c r="I30" s="304">
        <v>217</v>
      </c>
      <c r="J30" s="415">
        <f t="shared" si="0"/>
        <v>4892</v>
      </c>
      <c r="K30" s="571" t="s">
        <v>1091</v>
      </c>
      <c r="L30" s="304">
        <v>839</v>
      </c>
      <c r="M30" s="304">
        <v>0</v>
      </c>
      <c r="N30" s="571" t="s">
        <v>1091</v>
      </c>
      <c r="O30" s="415">
        <f t="shared" si="1"/>
        <v>5731</v>
      </c>
      <c r="P30" s="25"/>
    </row>
    <row r="31" spans="1:16" customFormat="1" ht="12.75" customHeight="1" x14ac:dyDescent="0.35">
      <c r="A31" s="294" t="s">
        <v>908</v>
      </c>
      <c r="B31" s="444"/>
      <c r="C31" s="438" t="s">
        <v>909</v>
      </c>
      <c r="D31" s="439"/>
      <c r="E31" s="439"/>
      <c r="F31" s="439"/>
      <c r="G31" s="440"/>
      <c r="H31" s="304">
        <v>1202</v>
      </c>
      <c r="I31" s="304">
        <v>1</v>
      </c>
      <c r="J31" s="415">
        <f t="shared" si="0"/>
        <v>1203</v>
      </c>
      <c r="K31" s="571" t="s">
        <v>1091</v>
      </c>
      <c r="L31" s="304">
        <v>520</v>
      </c>
      <c r="M31" s="304">
        <v>0</v>
      </c>
      <c r="N31" s="571" t="s">
        <v>1091</v>
      </c>
      <c r="O31" s="415">
        <f t="shared" si="1"/>
        <v>1723</v>
      </c>
      <c r="P31" s="25"/>
    </row>
    <row r="32" spans="1:16" customFormat="1" ht="12.75" customHeight="1" x14ac:dyDescent="0.35">
      <c r="A32" s="294" t="s">
        <v>910</v>
      </c>
      <c r="B32" s="444"/>
      <c r="C32" s="438" t="s">
        <v>911</v>
      </c>
      <c r="D32" s="439"/>
      <c r="E32" s="439"/>
      <c r="F32" s="439"/>
      <c r="G32" s="440"/>
      <c r="H32" s="304">
        <v>2850</v>
      </c>
      <c r="I32" s="304">
        <v>12</v>
      </c>
      <c r="J32" s="415">
        <f t="shared" si="0"/>
        <v>2862</v>
      </c>
      <c r="K32" s="571" t="s">
        <v>1091</v>
      </c>
      <c r="L32" s="304">
        <v>58</v>
      </c>
      <c r="M32" s="304">
        <v>0</v>
      </c>
      <c r="N32" s="571" t="s">
        <v>1091</v>
      </c>
      <c r="O32" s="415">
        <f t="shared" si="1"/>
        <v>2920</v>
      </c>
      <c r="P32" s="25"/>
    </row>
    <row r="33" spans="1:16" customFormat="1" ht="12.75" customHeight="1" x14ac:dyDescent="0.35">
      <c r="A33" s="294" t="s">
        <v>912</v>
      </c>
      <c r="B33" s="444"/>
      <c r="C33" s="438" t="s">
        <v>913</v>
      </c>
      <c r="D33" s="439"/>
      <c r="E33" s="439"/>
      <c r="F33" s="439"/>
      <c r="G33" s="440"/>
      <c r="H33" s="304">
        <v>5508</v>
      </c>
      <c r="I33" s="304">
        <v>169</v>
      </c>
      <c r="J33" s="415">
        <f t="shared" si="0"/>
        <v>5677</v>
      </c>
      <c r="K33" s="571" t="s">
        <v>1091</v>
      </c>
      <c r="L33" s="304">
        <v>536</v>
      </c>
      <c r="M33" s="304">
        <v>0</v>
      </c>
      <c r="N33" s="571" t="s">
        <v>1091</v>
      </c>
      <c r="O33" s="415">
        <f t="shared" si="1"/>
        <v>6213</v>
      </c>
      <c r="P33" s="25"/>
    </row>
    <row r="34" spans="1:16" customFormat="1" ht="12.75" customHeight="1" x14ac:dyDescent="0.35">
      <c r="A34" s="294" t="s">
        <v>914</v>
      </c>
      <c r="B34" s="444"/>
      <c r="C34" s="438" t="s">
        <v>915</v>
      </c>
      <c r="D34" s="439"/>
      <c r="E34" s="439"/>
      <c r="F34" s="439"/>
      <c r="G34" s="440"/>
      <c r="H34" s="304">
        <v>5360</v>
      </c>
      <c r="I34" s="304">
        <v>1132</v>
      </c>
      <c r="J34" s="415">
        <f t="shared" si="0"/>
        <v>6492</v>
      </c>
      <c r="K34" s="571" t="s">
        <v>1091</v>
      </c>
      <c r="L34" s="304">
        <v>668</v>
      </c>
      <c r="M34" s="304">
        <v>4</v>
      </c>
      <c r="N34" s="571" t="s">
        <v>1091</v>
      </c>
      <c r="O34" s="415">
        <f t="shared" si="1"/>
        <v>7164</v>
      </c>
      <c r="P34" s="25"/>
    </row>
    <row r="35" spans="1:16" customFormat="1" ht="12.75" customHeight="1" x14ac:dyDescent="0.35">
      <c r="A35" s="294" t="s">
        <v>916</v>
      </c>
      <c r="B35" s="444"/>
      <c r="C35" s="438" t="s">
        <v>917</v>
      </c>
      <c r="D35" s="439"/>
      <c r="E35" s="439"/>
      <c r="F35" s="439"/>
      <c r="G35" s="440"/>
      <c r="H35" s="304">
        <v>9795</v>
      </c>
      <c r="I35" s="304">
        <v>2631</v>
      </c>
      <c r="J35" s="415">
        <f t="shared" si="0"/>
        <v>12426</v>
      </c>
      <c r="K35" s="571" t="s">
        <v>1091</v>
      </c>
      <c r="L35" s="304">
        <v>823</v>
      </c>
      <c r="M35" s="304">
        <v>0</v>
      </c>
      <c r="N35" s="571" t="s">
        <v>1091</v>
      </c>
      <c r="O35" s="415">
        <f t="shared" si="1"/>
        <v>13249</v>
      </c>
      <c r="P35" s="25"/>
    </row>
    <row r="36" spans="1:16" customFormat="1" ht="12.75" customHeight="1" x14ac:dyDescent="0.35">
      <c r="A36" s="294" t="s">
        <v>918</v>
      </c>
      <c r="B36" s="444"/>
      <c r="C36" s="438" t="s">
        <v>919</v>
      </c>
      <c r="D36" s="439"/>
      <c r="E36" s="439"/>
      <c r="F36" s="439"/>
      <c r="G36" s="440"/>
      <c r="H36" s="304">
        <v>3741</v>
      </c>
      <c r="I36" s="304">
        <v>9</v>
      </c>
      <c r="J36" s="415">
        <f t="shared" si="0"/>
        <v>3750</v>
      </c>
      <c r="K36" s="571" t="s">
        <v>1091</v>
      </c>
      <c r="L36" s="304">
        <v>267</v>
      </c>
      <c r="M36" s="304">
        <v>0</v>
      </c>
      <c r="N36" s="571" t="s">
        <v>1091</v>
      </c>
      <c r="O36" s="415">
        <f t="shared" si="1"/>
        <v>4017</v>
      </c>
      <c r="P36" s="25"/>
    </row>
    <row r="37" spans="1:16" customFormat="1" ht="12.75" customHeight="1" x14ac:dyDescent="0.35">
      <c r="A37" s="294" t="s">
        <v>920</v>
      </c>
      <c r="B37" s="444"/>
      <c r="C37" s="438" t="s">
        <v>921</v>
      </c>
      <c r="D37" s="439"/>
      <c r="E37" s="439"/>
      <c r="F37" s="439"/>
      <c r="G37" s="440"/>
      <c r="H37" s="304">
        <v>6955</v>
      </c>
      <c r="I37" s="304">
        <v>4755</v>
      </c>
      <c r="J37" s="415">
        <f t="shared" si="0"/>
        <v>11710</v>
      </c>
      <c r="K37" s="571" t="s">
        <v>1091</v>
      </c>
      <c r="L37" s="304">
        <v>143</v>
      </c>
      <c r="M37" s="304">
        <v>47</v>
      </c>
      <c r="N37" s="571" t="s">
        <v>1091</v>
      </c>
      <c r="O37" s="415">
        <f t="shared" si="1"/>
        <v>11900</v>
      </c>
      <c r="P37" s="25"/>
    </row>
    <row r="38" spans="1:16" customFormat="1" ht="12.75" customHeight="1" x14ac:dyDescent="0.35">
      <c r="A38" s="294" t="s">
        <v>922</v>
      </c>
      <c r="B38" s="444"/>
      <c r="C38" s="438" t="s">
        <v>923</v>
      </c>
      <c r="D38" s="439"/>
      <c r="E38" s="439"/>
      <c r="F38" s="439"/>
      <c r="G38" s="440"/>
      <c r="H38" s="304">
        <v>13640</v>
      </c>
      <c r="I38" s="304">
        <v>6321</v>
      </c>
      <c r="J38" s="415">
        <f t="shared" si="0"/>
        <v>19961</v>
      </c>
      <c r="K38" s="571" t="s">
        <v>1091</v>
      </c>
      <c r="L38" s="304">
        <v>3284</v>
      </c>
      <c r="M38" s="304">
        <v>5</v>
      </c>
      <c r="N38" s="571" t="s">
        <v>1091</v>
      </c>
      <c r="O38" s="415">
        <f t="shared" si="1"/>
        <v>23250</v>
      </c>
      <c r="P38" s="25"/>
    </row>
    <row r="39" spans="1:16" customFormat="1" ht="12.75" customHeight="1" x14ac:dyDescent="0.35">
      <c r="A39" s="294" t="s">
        <v>924</v>
      </c>
      <c r="B39" s="444"/>
      <c r="C39" s="438" t="s">
        <v>925</v>
      </c>
      <c r="D39" s="439"/>
      <c r="E39" s="439"/>
      <c r="F39" s="439"/>
      <c r="G39" s="440"/>
      <c r="H39" s="304">
        <v>0</v>
      </c>
      <c r="I39" s="304">
        <v>0</v>
      </c>
      <c r="J39" s="415">
        <f t="shared" si="0"/>
        <v>0</v>
      </c>
      <c r="K39" s="571" t="s">
        <v>1091</v>
      </c>
      <c r="L39" s="304">
        <v>0</v>
      </c>
      <c r="M39" s="304">
        <v>0</v>
      </c>
      <c r="N39" s="571" t="s">
        <v>1091</v>
      </c>
      <c r="O39" s="415">
        <f t="shared" si="1"/>
        <v>0</v>
      </c>
      <c r="P39" s="25"/>
    </row>
    <row r="40" spans="1:16" customFormat="1" ht="12.75" customHeight="1" x14ac:dyDescent="0.35">
      <c r="A40" s="294" t="s">
        <v>926</v>
      </c>
      <c r="B40" s="444"/>
      <c r="C40" s="438" t="s">
        <v>927</v>
      </c>
      <c r="D40" s="439"/>
      <c r="E40" s="439"/>
      <c r="F40" s="439"/>
      <c r="G40" s="440"/>
      <c r="H40" s="304">
        <v>16428</v>
      </c>
      <c r="I40" s="304">
        <v>4591</v>
      </c>
      <c r="J40" s="415">
        <f t="shared" si="0"/>
        <v>21019</v>
      </c>
      <c r="K40" s="571" t="s">
        <v>1091</v>
      </c>
      <c r="L40" s="304">
        <v>753</v>
      </c>
      <c r="M40" s="304">
        <v>16</v>
      </c>
      <c r="N40" s="571" t="s">
        <v>1091</v>
      </c>
      <c r="O40" s="415">
        <f t="shared" si="1"/>
        <v>21788</v>
      </c>
      <c r="P40" s="25"/>
    </row>
    <row r="41" spans="1:16" customFormat="1" ht="12.75" customHeight="1" x14ac:dyDescent="0.35">
      <c r="A41" s="294" t="s">
        <v>928</v>
      </c>
      <c r="B41" s="444"/>
      <c r="C41" s="438" t="s">
        <v>929</v>
      </c>
      <c r="D41" s="439"/>
      <c r="E41" s="439"/>
      <c r="F41" s="439"/>
      <c r="G41" s="440"/>
      <c r="H41" s="304">
        <v>4956</v>
      </c>
      <c r="I41" s="304">
        <v>1627</v>
      </c>
      <c r="J41" s="415">
        <f t="shared" si="0"/>
        <v>6583</v>
      </c>
      <c r="K41" s="571" t="s">
        <v>1091</v>
      </c>
      <c r="L41" s="304">
        <v>864</v>
      </c>
      <c r="M41" s="304">
        <v>0</v>
      </c>
      <c r="N41" s="571" t="s">
        <v>1091</v>
      </c>
      <c r="O41" s="415">
        <f t="shared" si="1"/>
        <v>7447</v>
      </c>
      <c r="P41" s="25"/>
    </row>
    <row r="42" spans="1:16" customFormat="1" ht="12.75" customHeight="1" x14ac:dyDescent="0.35">
      <c r="A42" s="294" t="s">
        <v>930</v>
      </c>
      <c r="B42" s="444"/>
      <c r="C42" s="441" t="s">
        <v>931</v>
      </c>
      <c r="D42" s="439"/>
      <c r="E42" s="439"/>
      <c r="F42" s="439"/>
      <c r="G42" s="440"/>
      <c r="H42" s="304">
        <v>11523</v>
      </c>
      <c r="I42" s="304">
        <v>2529</v>
      </c>
      <c r="J42" s="415">
        <f t="shared" si="0"/>
        <v>14052</v>
      </c>
      <c r="K42" s="571" t="s">
        <v>1091</v>
      </c>
      <c r="L42" s="304">
        <v>675</v>
      </c>
      <c r="M42" s="304">
        <v>0</v>
      </c>
      <c r="N42" s="571" t="s">
        <v>1091</v>
      </c>
      <c r="O42" s="415">
        <f t="shared" si="1"/>
        <v>14727</v>
      </c>
      <c r="P42" s="25"/>
    </row>
    <row r="43" spans="1:16" customFormat="1" ht="12.75" customHeight="1" x14ac:dyDescent="0.35">
      <c r="A43" s="294" t="s">
        <v>932</v>
      </c>
      <c r="B43" s="444"/>
      <c r="C43" s="438" t="s">
        <v>933</v>
      </c>
      <c r="D43" s="439"/>
      <c r="E43" s="439"/>
      <c r="F43" s="439"/>
      <c r="G43" s="440"/>
      <c r="H43" s="304">
        <v>4216</v>
      </c>
      <c r="I43" s="304">
        <v>59</v>
      </c>
      <c r="J43" s="415">
        <f t="shared" si="0"/>
        <v>4275</v>
      </c>
      <c r="K43" s="571" t="s">
        <v>1091</v>
      </c>
      <c r="L43" s="304">
        <v>87</v>
      </c>
      <c r="M43" s="304">
        <v>0</v>
      </c>
      <c r="N43" s="571" t="s">
        <v>1091</v>
      </c>
      <c r="O43" s="415">
        <f t="shared" si="1"/>
        <v>4362</v>
      </c>
      <c r="P43" s="25"/>
    </row>
    <row r="44" spans="1:16" customFormat="1" ht="12.75" customHeight="1" x14ac:dyDescent="0.35">
      <c r="A44" s="294" t="s">
        <v>934</v>
      </c>
      <c r="B44" s="444"/>
      <c r="C44" s="438" t="s">
        <v>935</v>
      </c>
      <c r="D44" s="439"/>
      <c r="E44" s="439"/>
      <c r="F44" s="439"/>
      <c r="G44" s="440"/>
      <c r="H44" s="304">
        <v>6495</v>
      </c>
      <c r="I44" s="304">
        <v>2573</v>
      </c>
      <c r="J44" s="415">
        <f t="shared" si="0"/>
        <v>9068</v>
      </c>
      <c r="K44" s="571" t="s">
        <v>1091</v>
      </c>
      <c r="L44" s="304">
        <v>143</v>
      </c>
      <c r="M44" s="304">
        <v>0</v>
      </c>
      <c r="N44" s="571" t="s">
        <v>1091</v>
      </c>
      <c r="O44" s="415">
        <f t="shared" si="1"/>
        <v>9211</v>
      </c>
      <c r="P44" s="25"/>
    </row>
    <row r="45" spans="1:16" customFormat="1" ht="12.75" customHeight="1" x14ac:dyDescent="0.35">
      <c r="A45" s="294" t="s">
        <v>936</v>
      </c>
      <c r="B45" s="444"/>
      <c r="C45" s="438" t="s">
        <v>937</v>
      </c>
      <c r="D45" s="439"/>
      <c r="E45" s="439"/>
      <c r="F45" s="439"/>
      <c r="G45" s="440"/>
      <c r="H45" s="304">
        <v>2509</v>
      </c>
      <c r="I45" s="304">
        <v>0</v>
      </c>
      <c r="J45" s="415">
        <f t="shared" si="0"/>
        <v>2509</v>
      </c>
      <c r="K45" s="571" t="s">
        <v>1091</v>
      </c>
      <c r="L45" s="304">
        <v>56</v>
      </c>
      <c r="M45" s="304">
        <v>0</v>
      </c>
      <c r="N45" s="571" t="s">
        <v>1091</v>
      </c>
      <c r="O45" s="415">
        <f t="shared" si="1"/>
        <v>2565</v>
      </c>
      <c r="P45" s="25"/>
    </row>
    <row r="46" spans="1:16" customFormat="1" ht="12.75" customHeight="1" x14ac:dyDescent="0.35">
      <c r="A46" s="294" t="s">
        <v>938</v>
      </c>
      <c r="B46" s="444"/>
      <c r="C46" s="438" t="s">
        <v>939</v>
      </c>
      <c r="D46" s="439"/>
      <c r="E46" s="439"/>
      <c r="F46" s="439"/>
      <c r="G46" s="440"/>
      <c r="H46" s="304">
        <v>4021</v>
      </c>
      <c r="I46" s="304">
        <v>3024</v>
      </c>
      <c r="J46" s="415">
        <f t="shared" si="0"/>
        <v>7045</v>
      </c>
      <c r="K46" s="571" t="s">
        <v>1091</v>
      </c>
      <c r="L46" s="304">
        <v>1619</v>
      </c>
      <c r="M46" s="304">
        <v>20</v>
      </c>
      <c r="N46" s="571" t="s">
        <v>1091</v>
      </c>
      <c r="O46" s="415">
        <f t="shared" si="1"/>
        <v>8684</v>
      </c>
      <c r="P46" s="25"/>
    </row>
    <row r="47" spans="1:16" customFormat="1" ht="12.75" customHeight="1" x14ac:dyDescent="0.35">
      <c r="A47" s="294" t="s">
        <v>940</v>
      </c>
      <c r="B47" s="444"/>
      <c r="C47" s="438" t="s">
        <v>941</v>
      </c>
      <c r="D47" s="439"/>
      <c r="E47" s="439"/>
      <c r="F47" s="439"/>
      <c r="G47" s="440"/>
      <c r="H47" s="304">
        <v>3105</v>
      </c>
      <c r="I47" s="304">
        <v>893</v>
      </c>
      <c r="J47" s="415">
        <f t="shared" si="0"/>
        <v>3998</v>
      </c>
      <c r="K47" s="571" t="s">
        <v>1091</v>
      </c>
      <c r="L47" s="304">
        <v>772</v>
      </c>
      <c r="M47" s="304">
        <v>0</v>
      </c>
      <c r="N47" s="571" t="s">
        <v>1091</v>
      </c>
      <c r="O47" s="415">
        <f t="shared" si="1"/>
        <v>4770</v>
      </c>
      <c r="P47" s="25"/>
    </row>
    <row r="48" spans="1:16" customFormat="1" ht="12.75" customHeight="1" x14ac:dyDescent="0.35">
      <c r="A48" s="294" t="s">
        <v>942</v>
      </c>
      <c r="B48" s="444"/>
      <c r="C48" s="438" t="s">
        <v>943</v>
      </c>
      <c r="D48" s="439"/>
      <c r="E48" s="439"/>
      <c r="F48" s="439"/>
      <c r="G48" s="440"/>
      <c r="H48" s="304">
        <v>11615</v>
      </c>
      <c r="I48" s="304">
        <v>7989</v>
      </c>
      <c r="J48" s="415">
        <f t="shared" si="0"/>
        <v>19604</v>
      </c>
      <c r="K48" s="571" t="s">
        <v>1091</v>
      </c>
      <c r="L48" s="304">
        <v>3201</v>
      </c>
      <c r="M48" s="304">
        <v>68</v>
      </c>
      <c r="N48" s="571" t="s">
        <v>1091</v>
      </c>
      <c r="O48" s="415">
        <f t="shared" si="1"/>
        <v>22873</v>
      </c>
      <c r="P48" s="25"/>
    </row>
    <row r="49" spans="1:16" customFormat="1" ht="12.75" customHeight="1" x14ac:dyDescent="0.35">
      <c r="A49" s="294" t="s">
        <v>944</v>
      </c>
      <c r="B49" s="444"/>
      <c r="C49" s="438" t="s">
        <v>945</v>
      </c>
      <c r="D49" s="439"/>
      <c r="E49" s="439"/>
      <c r="F49" s="439"/>
      <c r="G49" s="440"/>
      <c r="H49" s="304">
        <v>2130</v>
      </c>
      <c r="I49" s="304">
        <v>8</v>
      </c>
      <c r="J49" s="415">
        <f t="shared" si="0"/>
        <v>2138</v>
      </c>
      <c r="K49" s="571" t="s">
        <v>1091</v>
      </c>
      <c r="L49" s="304">
        <v>254</v>
      </c>
      <c r="M49" s="304">
        <v>0</v>
      </c>
      <c r="N49" s="571" t="s">
        <v>1091</v>
      </c>
      <c r="O49" s="415">
        <f t="shared" si="1"/>
        <v>2392</v>
      </c>
      <c r="P49" s="25"/>
    </row>
    <row r="50" spans="1:16" customFormat="1" ht="12.75" customHeight="1" x14ac:dyDescent="0.35">
      <c r="A50" s="294" t="s">
        <v>946</v>
      </c>
      <c r="B50" s="444"/>
      <c r="C50" s="438" t="s">
        <v>947</v>
      </c>
      <c r="D50" s="439"/>
      <c r="E50" s="439"/>
      <c r="F50" s="439"/>
      <c r="G50" s="440"/>
      <c r="H50" s="304">
        <v>0</v>
      </c>
      <c r="I50" s="304">
        <v>0</v>
      </c>
      <c r="J50" s="415">
        <f t="shared" si="0"/>
        <v>0</v>
      </c>
      <c r="K50" s="571" t="s">
        <v>1091</v>
      </c>
      <c r="L50" s="304">
        <v>0</v>
      </c>
      <c r="M50" s="304">
        <v>0</v>
      </c>
      <c r="N50" s="571" t="s">
        <v>1091</v>
      </c>
      <c r="O50" s="415">
        <f t="shared" si="1"/>
        <v>0</v>
      </c>
      <c r="P50" s="25"/>
    </row>
    <row r="51" spans="1:16" customFormat="1" ht="12.75" customHeight="1" x14ac:dyDescent="0.35">
      <c r="A51" s="294" t="s">
        <v>948</v>
      </c>
      <c r="B51" s="316" t="s">
        <v>949</v>
      </c>
      <c r="C51" s="363"/>
      <c r="D51" s="363"/>
      <c r="E51" s="363"/>
      <c r="F51" s="363"/>
      <c r="G51" s="376"/>
      <c r="H51" s="415">
        <f>SUM(H6:H50)</f>
        <v>309131</v>
      </c>
      <c r="I51" s="415">
        <f>SUM(I6:I50)</f>
        <v>137629</v>
      </c>
      <c r="J51" s="415">
        <f>SUM(J6:J50)</f>
        <v>446760</v>
      </c>
      <c r="K51" s="572" t="s">
        <v>1091</v>
      </c>
      <c r="L51" s="415">
        <f>SUM(L6:L50)</f>
        <v>117907</v>
      </c>
      <c r="M51" s="415">
        <f>SUM(M6:M50)</f>
        <v>21802</v>
      </c>
      <c r="N51" s="572" t="s">
        <v>1091</v>
      </c>
      <c r="O51" s="415">
        <f t="shared" si="1"/>
        <v>586469</v>
      </c>
      <c r="P51" s="25"/>
    </row>
    <row r="52" spans="1:16" customFormat="1" ht="12.75" customHeight="1" x14ac:dyDescent="0.35">
      <c r="A52" s="294"/>
      <c r="B52" s="80"/>
      <c r="C52" s="439"/>
      <c r="D52" s="439"/>
      <c r="E52" s="439"/>
      <c r="F52" s="439"/>
      <c r="G52" s="6"/>
      <c r="H52" s="103"/>
      <c r="I52" s="103"/>
      <c r="J52" s="103"/>
      <c r="K52" s="571"/>
      <c r="L52" s="103"/>
      <c r="M52" s="103"/>
      <c r="N52" s="571"/>
      <c r="O52" s="103"/>
      <c r="P52" s="25"/>
    </row>
    <row r="53" spans="1:16" customFormat="1" ht="12.75" customHeight="1" x14ac:dyDescent="0.35">
      <c r="A53" s="294">
        <v>2</v>
      </c>
      <c r="B53" s="437" t="s">
        <v>950</v>
      </c>
      <c r="C53" s="438"/>
      <c r="D53" s="438"/>
      <c r="E53" s="438"/>
      <c r="F53" s="438"/>
      <c r="G53" s="442"/>
      <c r="H53" s="304">
        <v>58</v>
      </c>
      <c r="I53" s="304">
        <v>40961</v>
      </c>
      <c r="J53" s="415">
        <f>SUM(H53:I53)</f>
        <v>41019</v>
      </c>
      <c r="K53" s="571" t="s">
        <v>1091</v>
      </c>
      <c r="L53" s="304">
        <v>22169</v>
      </c>
      <c r="M53" s="304">
        <v>11807</v>
      </c>
      <c r="N53" s="571" t="s">
        <v>1091</v>
      </c>
      <c r="O53" s="415">
        <f>SUM(J53:M53)</f>
        <v>74995</v>
      </c>
      <c r="P53" s="25"/>
    </row>
    <row r="54" spans="1:16" customFormat="1" ht="12.75" customHeight="1" x14ac:dyDescent="0.35">
      <c r="A54" s="294"/>
      <c r="B54" s="80"/>
      <c r="C54" s="439"/>
      <c r="D54" s="439"/>
      <c r="E54" s="439"/>
      <c r="F54" s="439"/>
      <c r="G54" s="6"/>
      <c r="H54" s="103"/>
      <c r="I54" s="103"/>
      <c r="J54" s="103"/>
      <c r="K54" s="571"/>
      <c r="L54" s="103"/>
      <c r="M54" s="103"/>
      <c r="N54" s="571"/>
      <c r="O54" s="103"/>
      <c r="P54" s="25"/>
    </row>
    <row r="55" spans="1:16" customFormat="1" ht="12.75" customHeight="1" x14ac:dyDescent="0.35">
      <c r="A55" s="294">
        <v>3</v>
      </c>
      <c r="B55" s="434" t="s">
        <v>951</v>
      </c>
      <c r="C55" s="435"/>
      <c r="D55" s="435"/>
      <c r="E55" s="435"/>
      <c r="F55" s="435"/>
      <c r="G55" s="436"/>
      <c r="H55" s="298"/>
      <c r="I55" s="298"/>
      <c r="J55" s="298"/>
      <c r="K55" s="570"/>
      <c r="L55" s="298"/>
      <c r="M55" s="298"/>
      <c r="N55" s="570"/>
      <c r="O55" s="298"/>
      <c r="P55" s="25"/>
    </row>
    <row r="56" spans="1:16" customFormat="1" ht="12.75" customHeight="1" x14ac:dyDescent="0.35">
      <c r="A56" s="294" t="s">
        <v>123</v>
      </c>
      <c r="B56" s="444"/>
      <c r="C56" s="438" t="s">
        <v>952</v>
      </c>
      <c r="D56" s="439"/>
      <c r="E56" s="439"/>
      <c r="F56" s="439"/>
      <c r="G56" s="440"/>
      <c r="H56" s="304">
        <v>6648</v>
      </c>
      <c r="I56" s="304">
        <v>107803</v>
      </c>
      <c r="J56" s="415">
        <f>SUM(H56:I56)</f>
        <v>114451</v>
      </c>
      <c r="K56" s="571" t="s">
        <v>1091</v>
      </c>
      <c r="L56" s="304">
        <v>51749</v>
      </c>
      <c r="M56" s="304">
        <v>9317</v>
      </c>
      <c r="N56" s="571" t="s">
        <v>1091</v>
      </c>
      <c r="O56" s="415">
        <f>SUM(J56:M56)</f>
        <v>175517</v>
      </c>
      <c r="P56" s="25"/>
    </row>
    <row r="57" spans="1:16" customFormat="1" ht="12.75" customHeight="1" x14ac:dyDescent="0.35">
      <c r="A57" s="294" t="s">
        <v>709</v>
      </c>
      <c r="B57" s="444"/>
      <c r="C57" s="5" t="s">
        <v>1092</v>
      </c>
      <c r="D57" s="18"/>
      <c r="E57" s="18"/>
      <c r="F57" s="18"/>
      <c r="G57" s="121"/>
      <c r="H57" s="24"/>
      <c r="I57" s="24"/>
      <c r="J57" s="24"/>
      <c r="K57" s="81"/>
      <c r="L57" s="24"/>
      <c r="M57" s="24"/>
      <c r="N57" s="81"/>
      <c r="O57" s="24"/>
      <c r="P57" s="25"/>
    </row>
    <row r="58" spans="1:16" customFormat="1" ht="12.75" customHeight="1" x14ac:dyDescent="0.35">
      <c r="A58" s="294" t="s">
        <v>970</v>
      </c>
      <c r="B58" s="573"/>
      <c r="C58" s="557"/>
      <c r="D58" s="438" t="s">
        <v>1093</v>
      </c>
      <c r="E58" s="557"/>
      <c r="F58" s="557"/>
      <c r="G58" s="574"/>
      <c r="H58" s="571" t="s">
        <v>1091</v>
      </c>
      <c r="I58" s="571" t="s">
        <v>1091</v>
      </c>
      <c r="J58" s="572" t="s">
        <v>1091</v>
      </c>
      <c r="K58" s="571" t="s">
        <v>1091</v>
      </c>
      <c r="L58" s="304">
        <v>0</v>
      </c>
      <c r="M58" s="571" t="s">
        <v>1091</v>
      </c>
      <c r="N58" s="571" t="s">
        <v>1091</v>
      </c>
      <c r="O58" s="415">
        <f>L58</f>
        <v>0</v>
      </c>
      <c r="P58" s="25"/>
    </row>
    <row r="59" spans="1:16" customFormat="1" ht="12.75" customHeight="1" x14ac:dyDescent="0.35">
      <c r="A59" s="294" t="s">
        <v>972</v>
      </c>
      <c r="B59" s="573"/>
      <c r="C59" s="557"/>
      <c r="D59" s="438" t="s">
        <v>1094</v>
      </c>
      <c r="E59" s="557"/>
      <c r="F59" s="557"/>
      <c r="G59" s="574"/>
      <c r="H59" s="571" t="s">
        <v>1091</v>
      </c>
      <c r="I59" s="571" t="s">
        <v>1091</v>
      </c>
      <c r="J59" s="572" t="s">
        <v>1091</v>
      </c>
      <c r="K59" s="571" t="s">
        <v>1091</v>
      </c>
      <c r="L59" s="304">
        <v>19849</v>
      </c>
      <c r="M59" s="571" t="s">
        <v>1091</v>
      </c>
      <c r="N59" s="571" t="s">
        <v>1091</v>
      </c>
      <c r="O59" s="415">
        <f>L59</f>
        <v>19849</v>
      </c>
      <c r="P59" s="25"/>
    </row>
    <row r="60" spans="1:16" customFormat="1" ht="12.75" customHeight="1" x14ac:dyDescent="0.35">
      <c r="A60" s="294" t="s">
        <v>974</v>
      </c>
      <c r="B60" s="573"/>
      <c r="C60" s="557"/>
      <c r="D60" s="438" t="s">
        <v>1095</v>
      </c>
      <c r="E60" s="557"/>
      <c r="F60" s="557"/>
      <c r="G60" s="574"/>
      <c r="H60" s="304">
        <v>0</v>
      </c>
      <c r="I60" s="304">
        <v>0</v>
      </c>
      <c r="J60" s="415">
        <f>SUM(H60:I60)</f>
        <v>0</v>
      </c>
      <c r="K60" s="571" t="s">
        <v>1091</v>
      </c>
      <c r="L60" s="304">
        <v>3695</v>
      </c>
      <c r="M60" s="304">
        <v>0</v>
      </c>
      <c r="N60" s="571" t="s">
        <v>1091</v>
      </c>
      <c r="O60" s="415">
        <f>SUM(J60:M60)</f>
        <v>3695</v>
      </c>
      <c r="P60" s="25"/>
    </row>
    <row r="61" spans="1:16" customFormat="1" ht="12.75" customHeight="1" x14ac:dyDescent="0.35">
      <c r="A61" s="294" t="s">
        <v>976</v>
      </c>
      <c r="B61" s="362"/>
      <c r="C61" s="363" t="s">
        <v>1096</v>
      </c>
      <c r="D61" s="364"/>
      <c r="E61" s="364"/>
      <c r="F61" s="364"/>
      <c r="G61" s="365"/>
      <c r="H61" s="415">
        <f>H60</f>
        <v>0</v>
      </c>
      <c r="I61" s="415">
        <f>I60</f>
        <v>0</v>
      </c>
      <c r="J61" s="415">
        <f>SUM(H61:I61)</f>
        <v>0</v>
      </c>
      <c r="K61" s="572" t="s">
        <v>1091</v>
      </c>
      <c r="L61" s="415">
        <f>SUM(L58:L60)</f>
        <v>23544</v>
      </c>
      <c r="M61" s="415">
        <f>M60</f>
        <v>0</v>
      </c>
      <c r="N61" s="572" t="s">
        <v>1091</v>
      </c>
      <c r="O61" s="415">
        <f>SUM(J61:M61)</f>
        <v>23544</v>
      </c>
      <c r="P61" s="25"/>
    </row>
    <row r="62" spans="1:16" customFormat="1" ht="12.75" customHeight="1" x14ac:dyDescent="0.35">
      <c r="A62" s="294" t="s">
        <v>711</v>
      </c>
      <c r="B62" s="444"/>
      <c r="C62" s="438" t="s">
        <v>954</v>
      </c>
      <c r="D62" s="439"/>
      <c r="E62" s="439"/>
      <c r="F62" s="439"/>
      <c r="G62" s="440"/>
      <c r="H62" s="304">
        <v>401</v>
      </c>
      <c r="I62" s="304">
        <v>14527</v>
      </c>
      <c r="J62" s="415">
        <f>SUM(H62:I62)</f>
        <v>14928</v>
      </c>
      <c r="K62" s="571" t="s">
        <v>1091</v>
      </c>
      <c r="L62" s="304">
        <v>1970</v>
      </c>
      <c r="M62" s="304">
        <v>64</v>
      </c>
      <c r="N62" s="571" t="s">
        <v>1091</v>
      </c>
      <c r="O62" s="415">
        <f>SUM(J62:M62)</f>
        <v>16962</v>
      </c>
      <c r="P62" s="25"/>
    </row>
    <row r="63" spans="1:16" customFormat="1" ht="12.75" customHeight="1" x14ac:dyDescent="0.35">
      <c r="A63" s="294" t="s">
        <v>713</v>
      </c>
      <c r="B63" s="316" t="s">
        <v>955</v>
      </c>
      <c r="C63" s="363"/>
      <c r="D63" s="363"/>
      <c r="E63" s="363"/>
      <c r="F63" s="363"/>
      <c r="G63" s="376"/>
      <c r="H63" s="415">
        <f>H56+H61+H62</f>
        <v>7049</v>
      </c>
      <c r="I63" s="415">
        <f>I56+I61+I62</f>
        <v>122330</v>
      </c>
      <c r="J63" s="415">
        <f>J56+J61+J62</f>
        <v>129379</v>
      </c>
      <c r="K63" s="572" t="s">
        <v>1091</v>
      </c>
      <c r="L63" s="415">
        <f>L56+L61+L62</f>
        <v>77263</v>
      </c>
      <c r="M63" s="415">
        <f>M56+M61+M62</f>
        <v>9381</v>
      </c>
      <c r="N63" s="572" t="s">
        <v>1091</v>
      </c>
      <c r="O63" s="415">
        <f>O56+O61+O62</f>
        <v>216023</v>
      </c>
      <c r="P63" s="25"/>
    </row>
    <row r="64" spans="1:16" customFormat="1" ht="12.75" customHeight="1" x14ac:dyDescent="0.35">
      <c r="A64" s="294"/>
      <c r="B64" s="445"/>
      <c r="C64" s="446"/>
      <c r="D64" s="446"/>
      <c r="E64" s="446"/>
      <c r="F64" s="446"/>
      <c r="G64" s="447"/>
      <c r="H64" s="103"/>
      <c r="I64" s="103"/>
      <c r="J64" s="103"/>
      <c r="K64" s="122"/>
      <c r="L64" s="103"/>
      <c r="M64" s="103"/>
      <c r="N64" s="122"/>
      <c r="O64" s="103"/>
      <c r="P64" s="25"/>
    </row>
    <row r="65" spans="1:16" customFormat="1" ht="12.75" customHeight="1" x14ac:dyDescent="0.35">
      <c r="A65" s="294">
        <v>4</v>
      </c>
      <c r="B65" s="434" t="s">
        <v>1097</v>
      </c>
      <c r="C65" s="435"/>
      <c r="D65" s="435"/>
      <c r="E65" s="435"/>
      <c r="F65" s="435"/>
      <c r="G65" s="436"/>
      <c r="H65" s="298"/>
      <c r="I65" s="298"/>
      <c r="J65" s="298"/>
      <c r="K65" s="570"/>
      <c r="L65" s="298"/>
      <c r="M65" s="298"/>
      <c r="N65" s="570"/>
      <c r="O65" s="298"/>
      <c r="P65" s="25"/>
    </row>
    <row r="66" spans="1:16" customFormat="1" ht="12.75" customHeight="1" x14ac:dyDescent="0.35">
      <c r="A66" s="294" t="s">
        <v>770</v>
      </c>
      <c r="B66" s="444"/>
      <c r="C66" s="438" t="s">
        <v>1098</v>
      </c>
      <c r="D66" s="439"/>
      <c r="E66" s="439"/>
      <c r="F66" s="439"/>
      <c r="G66" s="440"/>
      <c r="H66" s="571" t="s">
        <v>1091</v>
      </c>
      <c r="I66" s="304">
        <v>9152</v>
      </c>
      <c r="J66" s="415">
        <f>I66</f>
        <v>9152</v>
      </c>
      <c r="K66" s="571" t="s">
        <v>1091</v>
      </c>
      <c r="L66" s="304">
        <v>25890</v>
      </c>
      <c r="M66" s="571" t="s">
        <v>1091</v>
      </c>
      <c r="N66" s="304">
        <v>0</v>
      </c>
      <c r="O66" s="415">
        <f>SUM(J66:N66)</f>
        <v>35042</v>
      </c>
      <c r="P66" s="25"/>
    </row>
    <row r="67" spans="1:16" customFormat="1" ht="12.75" customHeight="1" x14ac:dyDescent="0.35">
      <c r="A67" s="294" t="s">
        <v>1000</v>
      </c>
      <c r="B67" s="444"/>
      <c r="C67" s="438" t="s">
        <v>1099</v>
      </c>
      <c r="D67" s="439"/>
      <c r="E67" s="439"/>
      <c r="F67" s="439"/>
      <c r="G67" s="440"/>
      <c r="H67" s="571" t="s">
        <v>1091</v>
      </c>
      <c r="I67" s="304">
        <v>30526</v>
      </c>
      <c r="J67" s="415">
        <f>I67</f>
        <v>30526</v>
      </c>
      <c r="K67" s="13" t="s">
        <v>1091</v>
      </c>
      <c r="L67" s="304">
        <v>66141</v>
      </c>
      <c r="M67" s="304">
        <v>50509</v>
      </c>
      <c r="N67" s="304">
        <v>0</v>
      </c>
      <c r="O67" s="415">
        <f>SUM(J67:N67)</f>
        <v>147176</v>
      </c>
      <c r="P67" s="25"/>
    </row>
    <row r="68" spans="1:16" customFormat="1" ht="12.75" customHeight="1" x14ac:dyDescent="0.35">
      <c r="A68" s="294" t="s">
        <v>1002</v>
      </c>
      <c r="B68" s="316" t="s">
        <v>1100</v>
      </c>
      <c r="C68" s="363"/>
      <c r="D68" s="363"/>
      <c r="E68" s="363"/>
      <c r="F68" s="363"/>
      <c r="G68" s="376"/>
      <c r="H68" s="572" t="s">
        <v>1091</v>
      </c>
      <c r="I68" s="310">
        <f>SUM(I66:I67)</f>
        <v>39678</v>
      </c>
      <c r="J68" s="310">
        <f>SUM(J66:J67)</f>
        <v>39678</v>
      </c>
      <c r="K68" s="310" t="s">
        <v>1091</v>
      </c>
      <c r="L68" s="310">
        <f>SUM(L66:L67)</f>
        <v>92031</v>
      </c>
      <c r="M68" s="310">
        <f>SUM(M67)</f>
        <v>50509</v>
      </c>
      <c r="N68" s="310">
        <f>SUM(N66:N67)</f>
        <v>0</v>
      </c>
      <c r="O68" s="310">
        <f>SUM(J68:N68)</f>
        <v>182218</v>
      </c>
      <c r="P68" s="25"/>
    </row>
    <row r="69" spans="1:16" customFormat="1" ht="12.75" customHeight="1" x14ac:dyDescent="0.35">
      <c r="A69" s="294"/>
      <c r="B69" s="445"/>
      <c r="C69" s="446"/>
      <c r="D69" s="446"/>
      <c r="E69" s="446"/>
      <c r="F69" s="446"/>
      <c r="G69" s="447"/>
      <c r="H69" s="103"/>
      <c r="I69" s="103"/>
      <c r="J69" s="103"/>
      <c r="K69" s="122"/>
      <c r="L69" s="103"/>
      <c r="M69" s="103"/>
      <c r="N69" s="122"/>
      <c r="O69" s="103"/>
      <c r="P69" s="25"/>
    </row>
    <row r="70" spans="1:16" customFormat="1" ht="12.75" customHeight="1" x14ac:dyDescent="0.35">
      <c r="A70" s="294">
        <v>5</v>
      </c>
      <c r="B70" s="434" t="s">
        <v>1101</v>
      </c>
      <c r="C70" s="435"/>
      <c r="D70" s="435"/>
      <c r="E70" s="435"/>
      <c r="F70" s="435"/>
      <c r="G70" s="436"/>
      <c r="H70" s="315"/>
      <c r="I70" s="315"/>
      <c r="J70" s="298"/>
      <c r="K70" s="570"/>
      <c r="L70" s="298"/>
      <c r="M70" s="298"/>
      <c r="N70" s="570"/>
      <c r="O70" s="298"/>
      <c r="P70" s="25"/>
    </row>
    <row r="71" spans="1:16" customFormat="1" ht="12.75" customHeight="1" x14ac:dyDescent="0.35">
      <c r="A71" s="294" t="s">
        <v>1102</v>
      </c>
      <c r="B71" s="573"/>
      <c r="C71" s="438" t="s">
        <v>1034</v>
      </c>
      <c r="D71" s="557"/>
      <c r="E71" s="557"/>
      <c r="F71" s="557"/>
      <c r="G71" s="574"/>
      <c r="H71" s="571" t="s">
        <v>1091</v>
      </c>
      <c r="I71" s="304">
        <v>14822</v>
      </c>
      <c r="J71" s="415">
        <f>I71</f>
        <v>14822</v>
      </c>
      <c r="K71" s="13" t="s">
        <v>1091</v>
      </c>
      <c r="L71" s="304">
        <v>53824</v>
      </c>
      <c r="M71" s="304">
        <v>180</v>
      </c>
      <c r="N71" s="304">
        <v>0</v>
      </c>
      <c r="O71" s="415">
        <f>SUM(J71:N71)</f>
        <v>68826</v>
      </c>
      <c r="P71" s="25"/>
    </row>
    <row r="72" spans="1:16" customFormat="1" ht="12.75" customHeight="1" x14ac:dyDescent="0.35">
      <c r="A72" s="294" t="s">
        <v>1103</v>
      </c>
      <c r="B72" s="573"/>
      <c r="C72" s="438" t="s">
        <v>1104</v>
      </c>
      <c r="D72" s="557"/>
      <c r="E72" s="557"/>
      <c r="F72" s="557"/>
      <c r="G72" s="574"/>
      <c r="H72" s="571" t="s">
        <v>1091</v>
      </c>
      <c r="I72" s="304">
        <v>9585</v>
      </c>
      <c r="J72" s="415">
        <f>I72</f>
        <v>9585</v>
      </c>
      <c r="K72" s="13" t="s">
        <v>1091</v>
      </c>
      <c r="L72" s="304">
        <v>8608</v>
      </c>
      <c r="M72" s="304">
        <v>96</v>
      </c>
      <c r="N72" s="304">
        <v>0</v>
      </c>
      <c r="O72" s="415">
        <f>SUM(J72:N72)</f>
        <v>18289</v>
      </c>
      <c r="P72" s="25"/>
    </row>
    <row r="73" spans="1:16" customFormat="1" ht="12.75" customHeight="1" x14ac:dyDescent="0.35">
      <c r="A73" s="294" t="s">
        <v>1105</v>
      </c>
      <c r="B73" s="316" t="s">
        <v>1106</v>
      </c>
      <c r="C73" s="363"/>
      <c r="D73" s="363"/>
      <c r="E73" s="363"/>
      <c r="F73" s="363"/>
      <c r="G73" s="376"/>
      <c r="H73" s="572" t="s">
        <v>1091</v>
      </c>
      <c r="I73" s="310">
        <f>SUM(I71:I72)</f>
        <v>24407</v>
      </c>
      <c r="J73" s="415">
        <f>SUM(J71:J72)</f>
        <v>24407</v>
      </c>
      <c r="K73" s="310" t="s">
        <v>1091</v>
      </c>
      <c r="L73" s="415">
        <f>SUM(L71:L72)</f>
        <v>62432</v>
      </c>
      <c r="M73" s="415">
        <f>SUM(M71:M72)</f>
        <v>276</v>
      </c>
      <c r="N73" s="310">
        <f>SUM(N71:N72)</f>
        <v>0</v>
      </c>
      <c r="O73" s="415">
        <f>SUM(J73:N73)</f>
        <v>87115</v>
      </c>
      <c r="P73" s="25"/>
    </row>
    <row r="74" spans="1:16" customFormat="1" ht="12.75" customHeight="1" x14ac:dyDescent="0.35">
      <c r="A74" s="294"/>
      <c r="B74" s="445"/>
      <c r="C74" s="446"/>
      <c r="D74" s="446"/>
      <c r="E74" s="446"/>
      <c r="F74" s="446"/>
      <c r="G74" s="447"/>
      <c r="H74" s="103"/>
      <c r="I74" s="103"/>
      <c r="J74" s="103"/>
      <c r="K74" s="122"/>
      <c r="L74" s="103"/>
      <c r="M74" s="103"/>
      <c r="N74" s="122"/>
      <c r="O74" s="103"/>
      <c r="P74" s="25"/>
    </row>
    <row r="75" spans="1:16" customFormat="1" ht="12.75" customHeight="1" x14ac:dyDescent="0.35">
      <c r="A75" s="294">
        <v>6</v>
      </c>
      <c r="B75" s="434" t="s">
        <v>618</v>
      </c>
      <c r="C75" s="435"/>
      <c r="D75" s="435"/>
      <c r="E75" s="435"/>
      <c r="F75" s="435"/>
      <c r="G75" s="436"/>
      <c r="H75" s="315"/>
      <c r="I75" s="315"/>
      <c r="J75" s="298"/>
      <c r="K75" s="570"/>
      <c r="L75" s="298"/>
      <c r="M75" s="298"/>
      <c r="N75" s="570"/>
      <c r="O75" s="298"/>
      <c r="P75" s="25"/>
    </row>
    <row r="76" spans="1:16" customFormat="1" ht="12.75" customHeight="1" x14ac:dyDescent="0.35">
      <c r="A76" s="294" t="s">
        <v>136</v>
      </c>
      <c r="B76" s="357"/>
      <c r="C76" s="575" t="s">
        <v>124</v>
      </c>
      <c r="D76" s="576"/>
      <c r="E76" s="576"/>
      <c r="F76" s="576"/>
      <c r="G76" s="576"/>
      <c r="H76" s="103"/>
      <c r="I76" s="577"/>
      <c r="J76" s="577"/>
      <c r="K76" s="571"/>
      <c r="L76" s="577"/>
      <c r="M76" s="577"/>
      <c r="N76" s="571"/>
      <c r="O76" s="24"/>
      <c r="P76" s="25"/>
    </row>
    <row r="77" spans="1:16" customFormat="1" ht="12.75" customHeight="1" x14ac:dyDescent="0.35">
      <c r="A77" s="294" t="s">
        <v>970</v>
      </c>
      <c r="B77" s="578"/>
      <c r="C77" s="579"/>
      <c r="D77" s="358" t="s">
        <v>1010</v>
      </c>
      <c r="E77" s="579"/>
      <c r="F77" s="579"/>
      <c r="G77" s="580"/>
      <c r="H77" s="304">
        <v>7454</v>
      </c>
      <c r="I77" s="304">
        <v>309</v>
      </c>
      <c r="J77" s="415">
        <f t="shared" ref="J77:J85" si="2">SUM(H77:I77)</f>
        <v>7763</v>
      </c>
      <c r="K77" s="571" t="s">
        <v>1091</v>
      </c>
      <c r="L77" s="304">
        <v>6312</v>
      </c>
      <c r="M77" s="304">
        <v>2663</v>
      </c>
      <c r="N77" s="571" t="s">
        <v>1091</v>
      </c>
      <c r="O77" s="415">
        <f t="shared" ref="O77:O85" si="3">SUM(J77:M77)</f>
        <v>16738</v>
      </c>
      <c r="P77" s="25"/>
    </row>
    <row r="78" spans="1:16" customFormat="1" ht="12.75" customHeight="1" x14ac:dyDescent="0.35">
      <c r="A78" s="294" t="s">
        <v>972</v>
      </c>
      <c r="B78" s="578"/>
      <c r="C78" s="579"/>
      <c r="D78" s="358" t="s">
        <v>1011</v>
      </c>
      <c r="E78" s="579"/>
      <c r="F78" s="579"/>
      <c r="G78" s="580"/>
      <c r="H78" s="304">
        <v>12552</v>
      </c>
      <c r="I78" s="304">
        <v>2287</v>
      </c>
      <c r="J78" s="415">
        <f t="shared" si="2"/>
        <v>14839</v>
      </c>
      <c r="K78" s="571" t="s">
        <v>1091</v>
      </c>
      <c r="L78" s="304">
        <v>12973</v>
      </c>
      <c r="M78" s="304">
        <v>3900</v>
      </c>
      <c r="N78" s="571" t="s">
        <v>1091</v>
      </c>
      <c r="O78" s="415">
        <f t="shared" si="3"/>
        <v>31712</v>
      </c>
      <c r="P78" s="25"/>
    </row>
    <row r="79" spans="1:16" customFormat="1" ht="12.75" customHeight="1" x14ac:dyDescent="0.35">
      <c r="A79" s="294" t="s">
        <v>974</v>
      </c>
      <c r="B79" s="578"/>
      <c r="C79" s="579"/>
      <c r="D79" s="358" t="s">
        <v>1012</v>
      </c>
      <c r="E79" s="579"/>
      <c r="F79" s="579"/>
      <c r="G79" s="580"/>
      <c r="H79" s="304">
        <v>2392</v>
      </c>
      <c r="I79" s="304">
        <v>261</v>
      </c>
      <c r="J79" s="415">
        <f t="shared" si="2"/>
        <v>2653</v>
      </c>
      <c r="K79" s="571" t="s">
        <v>1091</v>
      </c>
      <c r="L79" s="304">
        <v>3073</v>
      </c>
      <c r="M79" s="304">
        <v>45</v>
      </c>
      <c r="N79" s="571" t="s">
        <v>1091</v>
      </c>
      <c r="O79" s="415">
        <f t="shared" si="3"/>
        <v>5771</v>
      </c>
      <c r="P79" s="25"/>
    </row>
    <row r="80" spans="1:16" customFormat="1" ht="12.75" customHeight="1" x14ac:dyDescent="0.35">
      <c r="A80" s="294" t="s">
        <v>976</v>
      </c>
      <c r="B80" s="578"/>
      <c r="C80" s="579"/>
      <c r="D80" s="358" t="s">
        <v>1013</v>
      </c>
      <c r="E80" s="579"/>
      <c r="F80" s="579"/>
      <c r="G80" s="580"/>
      <c r="H80" s="304">
        <v>10024</v>
      </c>
      <c r="I80" s="304">
        <v>930</v>
      </c>
      <c r="J80" s="415">
        <f t="shared" si="2"/>
        <v>10954</v>
      </c>
      <c r="K80" s="571" t="s">
        <v>1091</v>
      </c>
      <c r="L80" s="304">
        <v>10012</v>
      </c>
      <c r="M80" s="304">
        <v>1233</v>
      </c>
      <c r="N80" s="571" t="s">
        <v>1091</v>
      </c>
      <c r="O80" s="415">
        <f t="shared" si="3"/>
        <v>22199</v>
      </c>
      <c r="P80" s="25"/>
    </row>
    <row r="81" spans="1:16" customFormat="1" ht="12.75" customHeight="1" x14ac:dyDescent="0.35">
      <c r="A81" s="294" t="s">
        <v>978</v>
      </c>
      <c r="B81" s="578"/>
      <c r="C81" s="579"/>
      <c r="D81" s="358" t="s">
        <v>1014</v>
      </c>
      <c r="E81" s="579"/>
      <c r="F81" s="579"/>
      <c r="G81" s="580"/>
      <c r="H81" s="304">
        <v>2385</v>
      </c>
      <c r="I81" s="304">
        <v>631</v>
      </c>
      <c r="J81" s="415">
        <f t="shared" si="2"/>
        <v>3016</v>
      </c>
      <c r="K81" s="571" t="s">
        <v>1091</v>
      </c>
      <c r="L81" s="304">
        <v>4563</v>
      </c>
      <c r="M81" s="304">
        <v>0</v>
      </c>
      <c r="N81" s="571" t="s">
        <v>1091</v>
      </c>
      <c r="O81" s="415">
        <f t="shared" si="3"/>
        <v>7579</v>
      </c>
      <c r="P81" s="25"/>
    </row>
    <row r="82" spans="1:16" customFormat="1" ht="12.75" customHeight="1" x14ac:dyDescent="0.35">
      <c r="A82" s="294" t="s">
        <v>980</v>
      </c>
      <c r="B82" s="578"/>
      <c r="C82" s="579"/>
      <c r="D82" s="358" t="s">
        <v>1015</v>
      </c>
      <c r="E82" s="579"/>
      <c r="F82" s="579"/>
      <c r="G82" s="580"/>
      <c r="H82" s="304">
        <v>1014</v>
      </c>
      <c r="I82" s="304">
        <v>197</v>
      </c>
      <c r="J82" s="415">
        <f t="shared" si="2"/>
        <v>1211</v>
      </c>
      <c r="K82" s="571" t="s">
        <v>1091</v>
      </c>
      <c r="L82" s="304">
        <v>3764</v>
      </c>
      <c r="M82" s="304">
        <v>0</v>
      </c>
      <c r="N82" s="571" t="s">
        <v>1091</v>
      </c>
      <c r="O82" s="415">
        <f t="shared" si="3"/>
        <v>4975</v>
      </c>
      <c r="P82" s="25"/>
    </row>
    <row r="83" spans="1:16" customFormat="1" ht="12.75" customHeight="1" x14ac:dyDescent="0.35">
      <c r="A83" s="294" t="s">
        <v>982</v>
      </c>
      <c r="B83" s="578"/>
      <c r="C83" s="579"/>
      <c r="D83" s="358" t="s">
        <v>1016</v>
      </c>
      <c r="E83" s="579"/>
      <c r="F83" s="579"/>
      <c r="G83" s="580"/>
      <c r="H83" s="304">
        <v>5855</v>
      </c>
      <c r="I83" s="304">
        <v>388</v>
      </c>
      <c r="J83" s="415">
        <f t="shared" si="2"/>
        <v>6243</v>
      </c>
      <c r="K83" s="571" t="s">
        <v>1091</v>
      </c>
      <c r="L83" s="304">
        <v>2447</v>
      </c>
      <c r="M83" s="304">
        <v>2008</v>
      </c>
      <c r="N83" s="571" t="s">
        <v>1091</v>
      </c>
      <c r="O83" s="415">
        <f t="shared" si="3"/>
        <v>10698</v>
      </c>
      <c r="P83" s="25"/>
    </row>
    <row r="84" spans="1:16" customFormat="1" ht="12.75" customHeight="1" x14ac:dyDescent="0.35">
      <c r="A84" s="294" t="s">
        <v>984</v>
      </c>
      <c r="B84" s="578"/>
      <c r="C84" s="579"/>
      <c r="D84" s="358" t="s">
        <v>857</v>
      </c>
      <c r="E84" s="579"/>
      <c r="F84" s="579"/>
      <c r="G84" s="580"/>
      <c r="H84" s="304">
        <v>12982</v>
      </c>
      <c r="I84" s="304">
        <v>658</v>
      </c>
      <c r="J84" s="415">
        <f t="shared" si="2"/>
        <v>13640</v>
      </c>
      <c r="K84" s="571" t="s">
        <v>1091</v>
      </c>
      <c r="L84" s="304">
        <v>5305</v>
      </c>
      <c r="M84" s="304">
        <v>0</v>
      </c>
      <c r="N84" s="571" t="s">
        <v>1091</v>
      </c>
      <c r="O84" s="415">
        <f t="shared" si="3"/>
        <v>18945</v>
      </c>
      <c r="P84" s="25"/>
    </row>
    <row r="85" spans="1:16" customFormat="1" ht="12.75" customHeight="1" x14ac:dyDescent="0.35">
      <c r="A85" s="294" t="s">
        <v>1018</v>
      </c>
      <c r="B85" s="578"/>
      <c r="C85" s="579"/>
      <c r="D85" s="358" t="s">
        <v>110</v>
      </c>
      <c r="E85" s="579"/>
      <c r="F85" s="579"/>
      <c r="G85" s="580"/>
      <c r="H85" s="304">
        <v>4168</v>
      </c>
      <c r="I85" s="304">
        <v>102</v>
      </c>
      <c r="J85" s="415">
        <f t="shared" si="2"/>
        <v>4270</v>
      </c>
      <c r="K85" s="571" t="s">
        <v>1091</v>
      </c>
      <c r="L85" s="304">
        <v>1730</v>
      </c>
      <c r="M85" s="304">
        <v>154</v>
      </c>
      <c r="N85" s="571" t="s">
        <v>1091</v>
      </c>
      <c r="O85" s="415">
        <f t="shared" si="3"/>
        <v>6154</v>
      </c>
      <c r="P85" s="25"/>
    </row>
    <row r="86" spans="1:16" customFormat="1" ht="12.75" customHeight="1" x14ac:dyDescent="0.35">
      <c r="A86" s="294" t="s">
        <v>1019</v>
      </c>
      <c r="B86" s="581"/>
      <c r="C86" s="582" t="s">
        <v>138</v>
      </c>
      <c r="D86" s="363"/>
      <c r="E86" s="363"/>
      <c r="F86" s="363"/>
      <c r="G86" s="376"/>
      <c r="H86" s="310">
        <f>SUM(H77:H85)</f>
        <v>58826</v>
      </c>
      <c r="I86" s="310">
        <f>SUM(I77:I85)</f>
        <v>5763</v>
      </c>
      <c r="J86" s="310">
        <f>SUM(J77:J85)</f>
        <v>64589</v>
      </c>
      <c r="K86" s="310" t="s">
        <v>1091</v>
      </c>
      <c r="L86" s="310">
        <f>SUM(L77:L85)</f>
        <v>50179</v>
      </c>
      <c r="M86" s="310">
        <f>SUM(M77:M85)</f>
        <v>10003</v>
      </c>
      <c r="N86" s="310" t="s">
        <v>1091</v>
      </c>
      <c r="O86" s="310">
        <f>SUM(O77:O85)</f>
        <v>124771</v>
      </c>
      <c r="P86" s="25"/>
    </row>
    <row r="87" spans="1:16" customFormat="1" ht="12.75" customHeight="1" x14ac:dyDescent="0.35">
      <c r="A87" s="294" t="s">
        <v>1006</v>
      </c>
      <c r="B87" s="357"/>
      <c r="C87" s="358" t="s">
        <v>859</v>
      </c>
      <c r="D87" s="359"/>
      <c r="E87" s="359"/>
      <c r="F87" s="359"/>
      <c r="G87" s="360"/>
      <c r="H87" s="304">
        <v>33637</v>
      </c>
      <c r="I87" s="304">
        <v>6038</v>
      </c>
      <c r="J87" s="415">
        <f t="shared" ref="J87:J98" si="4">SUM(H87:I87)</f>
        <v>39675</v>
      </c>
      <c r="K87" s="571" t="s">
        <v>1091</v>
      </c>
      <c r="L87" s="304">
        <v>35382</v>
      </c>
      <c r="M87" s="304">
        <v>1606</v>
      </c>
      <c r="N87" s="571" t="s">
        <v>1091</v>
      </c>
      <c r="O87" s="415">
        <f t="shared" ref="O87:O98" si="5">SUM(J87:M87)</f>
        <v>76663</v>
      </c>
      <c r="P87" s="25"/>
    </row>
    <row r="88" spans="1:16" customFormat="1" ht="12.75" customHeight="1" x14ac:dyDescent="0.35">
      <c r="A88" s="294" t="s">
        <v>1107</v>
      </c>
      <c r="B88" s="357"/>
      <c r="C88" s="358" t="s">
        <v>860</v>
      </c>
      <c r="D88" s="359"/>
      <c r="E88" s="359"/>
      <c r="F88" s="359"/>
      <c r="G88" s="360"/>
      <c r="H88" s="304">
        <v>1560</v>
      </c>
      <c r="I88" s="304">
        <v>539</v>
      </c>
      <c r="J88" s="415">
        <f t="shared" si="4"/>
        <v>2099</v>
      </c>
      <c r="K88" s="571" t="s">
        <v>1091</v>
      </c>
      <c r="L88" s="304">
        <v>833</v>
      </c>
      <c r="M88" s="304">
        <v>978</v>
      </c>
      <c r="N88" s="571" t="s">
        <v>1091</v>
      </c>
      <c r="O88" s="415">
        <f t="shared" si="5"/>
        <v>3910</v>
      </c>
      <c r="P88" s="25"/>
    </row>
    <row r="89" spans="1:16" customFormat="1" ht="12.5" customHeight="1" x14ac:dyDescent="0.35">
      <c r="A89" s="294" t="s">
        <v>1108</v>
      </c>
      <c r="B89" s="357"/>
      <c r="C89" s="358" t="s">
        <v>861</v>
      </c>
      <c r="D89" s="359"/>
      <c r="E89" s="359"/>
      <c r="F89" s="359"/>
      <c r="G89" s="360"/>
      <c r="H89" s="304">
        <v>7461</v>
      </c>
      <c r="I89" s="304">
        <v>3630</v>
      </c>
      <c r="J89" s="415">
        <f t="shared" si="4"/>
        <v>11091</v>
      </c>
      <c r="K89" s="571" t="s">
        <v>1091</v>
      </c>
      <c r="L89" s="304">
        <v>16080</v>
      </c>
      <c r="M89" s="304">
        <v>82</v>
      </c>
      <c r="N89" s="571" t="s">
        <v>1091</v>
      </c>
      <c r="O89" s="415">
        <f t="shared" si="5"/>
        <v>27253</v>
      </c>
      <c r="P89" s="25"/>
    </row>
    <row r="90" spans="1:16" customFormat="1" ht="12.5" customHeight="1" x14ac:dyDescent="0.35">
      <c r="A90" s="294" t="s">
        <v>1109</v>
      </c>
      <c r="B90" s="357"/>
      <c r="C90" s="358" t="s">
        <v>863</v>
      </c>
      <c r="D90" s="359"/>
      <c r="E90" s="359"/>
      <c r="F90" s="359"/>
      <c r="G90" s="360"/>
      <c r="H90" s="304">
        <v>2932</v>
      </c>
      <c r="I90" s="304">
        <v>736</v>
      </c>
      <c r="J90" s="415">
        <f t="shared" si="4"/>
        <v>3668</v>
      </c>
      <c r="K90" s="571" t="s">
        <v>1091</v>
      </c>
      <c r="L90" s="304">
        <v>6544</v>
      </c>
      <c r="M90" s="304">
        <v>44</v>
      </c>
      <c r="N90" s="571" t="s">
        <v>1091</v>
      </c>
      <c r="O90" s="415">
        <f t="shared" si="5"/>
        <v>10256</v>
      </c>
      <c r="P90" s="25"/>
    </row>
    <row r="91" spans="1:16" customFormat="1" ht="12.5" customHeight="1" x14ac:dyDescent="0.35">
      <c r="A91" s="294" t="s">
        <v>1110</v>
      </c>
      <c r="B91" s="357"/>
      <c r="C91" s="27" t="s">
        <v>864</v>
      </c>
      <c r="D91" s="359"/>
      <c r="E91" s="359"/>
      <c r="F91" s="359"/>
      <c r="G91" s="360"/>
      <c r="H91" s="304">
        <v>255</v>
      </c>
      <c r="I91" s="304">
        <v>529</v>
      </c>
      <c r="J91" s="415">
        <f t="shared" si="4"/>
        <v>784</v>
      </c>
      <c r="K91" s="571" t="s">
        <v>1091</v>
      </c>
      <c r="L91" s="304">
        <v>216</v>
      </c>
      <c r="M91" s="304">
        <v>87</v>
      </c>
      <c r="N91" s="571" t="s">
        <v>1091</v>
      </c>
      <c r="O91" s="415">
        <f t="shared" si="5"/>
        <v>1087</v>
      </c>
      <c r="P91" s="25"/>
    </row>
    <row r="92" spans="1:16" customFormat="1" ht="12.5" customHeight="1" x14ac:dyDescent="0.35">
      <c r="A92" s="294" t="s">
        <v>1111</v>
      </c>
      <c r="B92" s="357"/>
      <c r="C92" s="358" t="s">
        <v>865</v>
      </c>
      <c r="D92" s="359"/>
      <c r="E92" s="359"/>
      <c r="F92" s="359"/>
      <c r="G92" s="360"/>
      <c r="H92" s="304">
        <v>6275</v>
      </c>
      <c r="I92" s="304">
        <v>257</v>
      </c>
      <c r="J92" s="415">
        <f t="shared" si="4"/>
        <v>6532</v>
      </c>
      <c r="K92" s="571" t="s">
        <v>1091</v>
      </c>
      <c r="L92" s="304">
        <v>1800</v>
      </c>
      <c r="M92" s="304">
        <v>0</v>
      </c>
      <c r="N92" s="571" t="s">
        <v>1091</v>
      </c>
      <c r="O92" s="415">
        <f t="shared" si="5"/>
        <v>8332</v>
      </c>
      <c r="P92" s="25"/>
    </row>
    <row r="93" spans="1:16" customFormat="1" ht="12.5" customHeight="1" x14ac:dyDescent="0.35">
      <c r="A93" s="294" t="s">
        <v>1112</v>
      </c>
      <c r="B93" s="357"/>
      <c r="C93" s="358" t="s">
        <v>866</v>
      </c>
      <c r="D93" s="359"/>
      <c r="E93" s="359"/>
      <c r="F93" s="359"/>
      <c r="G93" s="360"/>
      <c r="H93" s="304">
        <v>1208</v>
      </c>
      <c r="I93" s="304">
        <v>596</v>
      </c>
      <c r="J93" s="415">
        <f t="shared" si="4"/>
        <v>1804</v>
      </c>
      <c r="K93" s="571" t="s">
        <v>1091</v>
      </c>
      <c r="L93" s="304">
        <v>5452</v>
      </c>
      <c r="M93" s="304">
        <v>23</v>
      </c>
      <c r="N93" s="571" t="s">
        <v>1091</v>
      </c>
      <c r="O93" s="415">
        <f t="shared" si="5"/>
        <v>7279</v>
      </c>
      <c r="P93" s="25"/>
    </row>
    <row r="94" spans="1:16" customFormat="1" ht="12.5" customHeight="1" x14ac:dyDescent="0.35">
      <c r="A94" s="294" t="s">
        <v>1113</v>
      </c>
      <c r="B94" s="357"/>
      <c r="C94" s="358" t="s">
        <v>867</v>
      </c>
      <c r="D94" s="359"/>
      <c r="E94" s="359"/>
      <c r="F94" s="359"/>
      <c r="G94" s="360"/>
      <c r="H94" s="304">
        <v>999</v>
      </c>
      <c r="I94" s="304">
        <v>170</v>
      </c>
      <c r="J94" s="415">
        <f t="shared" si="4"/>
        <v>1169</v>
      </c>
      <c r="K94" s="571" t="s">
        <v>1091</v>
      </c>
      <c r="L94" s="304">
        <v>1540</v>
      </c>
      <c r="M94" s="304">
        <v>5</v>
      </c>
      <c r="N94" s="571" t="s">
        <v>1091</v>
      </c>
      <c r="O94" s="415">
        <f t="shared" si="5"/>
        <v>2714</v>
      </c>
      <c r="P94" s="25"/>
    </row>
    <row r="95" spans="1:16" customFormat="1" ht="12.5" customHeight="1" x14ac:dyDescent="0.35">
      <c r="A95" s="294" t="s">
        <v>139</v>
      </c>
      <c r="B95" s="357"/>
      <c r="C95" s="358" t="s">
        <v>127</v>
      </c>
      <c r="D95" s="359"/>
      <c r="E95" s="359"/>
      <c r="F95" s="359"/>
      <c r="G95" s="360"/>
      <c r="H95" s="304">
        <v>716</v>
      </c>
      <c r="I95" s="304">
        <v>167</v>
      </c>
      <c r="J95" s="415">
        <f t="shared" si="4"/>
        <v>883</v>
      </c>
      <c r="K95" s="571" t="s">
        <v>1091</v>
      </c>
      <c r="L95" s="304">
        <v>1047</v>
      </c>
      <c r="M95" s="304">
        <v>59</v>
      </c>
      <c r="N95" s="571" t="s">
        <v>1091</v>
      </c>
      <c r="O95" s="415">
        <f t="shared" si="5"/>
        <v>1989</v>
      </c>
      <c r="P95" s="25"/>
    </row>
    <row r="96" spans="1:16" customFormat="1" ht="12.5" customHeight="1" x14ac:dyDescent="0.35">
      <c r="A96" s="294" t="s">
        <v>140</v>
      </c>
      <c r="B96" s="357"/>
      <c r="C96" s="358" t="s">
        <v>141</v>
      </c>
      <c r="D96" s="359"/>
      <c r="E96" s="359"/>
      <c r="F96" s="359"/>
      <c r="G96" s="360"/>
      <c r="H96" s="304">
        <v>2451</v>
      </c>
      <c r="I96" s="304">
        <v>351</v>
      </c>
      <c r="J96" s="415">
        <f t="shared" si="4"/>
        <v>2802</v>
      </c>
      <c r="K96" s="571" t="s">
        <v>1091</v>
      </c>
      <c r="L96" s="304">
        <v>7037</v>
      </c>
      <c r="M96" s="304">
        <v>78</v>
      </c>
      <c r="N96" s="571" t="s">
        <v>1091</v>
      </c>
      <c r="O96" s="415">
        <f t="shared" si="5"/>
        <v>9917</v>
      </c>
      <c r="P96" s="25"/>
    </row>
    <row r="97" spans="1:16" customFormat="1" ht="12.5" customHeight="1" x14ac:dyDescent="0.35">
      <c r="A97" s="294" t="s">
        <v>142</v>
      </c>
      <c r="B97" s="357"/>
      <c r="C97" s="358" t="s">
        <v>131</v>
      </c>
      <c r="D97" s="359"/>
      <c r="E97" s="359"/>
      <c r="F97" s="359"/>
      <c r="G97" s="360"/>
      <c r="H97" s="304">
        <v>7253</v>
      </c>
      <c r="I97" s="304">
        <v>950</v>
      </c>
      <c r="J97" s="415">
        <f t="shared" si="4"/>
        <v>8203</v>
      </c>
      <c r="K97" s="571" t="s">
        <v>1091</v>
      </c>
      <c r="L97" s="304">
        <v>4496</v>
      </c>
      <c r="M97" s="304">
        <v>198</v>
      </c>
      <c r="N97" s="571" t="s">
        <v>1091</v>
      </c>
      <c r="O97" s="415">
        <f t="shared" si="5"/>
        <v>12897</v>
      </c>
      <c r="P97" s="25"/>
    </row>
    <row r="98" spans="1:16" customFormat="1" ht="12.5" customHeight="1" x14ac:dyDescent="0.35">
      <c r="A98" s="294" t="s">
        <v>143</v>
      </c>
      <c r="B98" s="357"/>
      <c r="C98" s="358" t="s">
        <v>133</v>
      </c>
      <c r="D98" s="359"/>
      <c r="E98" s="359"/>
      <c r="F98" s="359"/>
      <c r="G98" s="360"/>
      <c r="H98" s="304">
        <v>1595</v>
      </c>
      <c r="I98" s="304">
        <v>411</v>
      </c>
      <c r="J98" s="415">
        <f t="shared" si="4"/>
        <v>2006</v>
      </c>
      <c r="K98" s="571" t="s">
        <v>1091</v>
      </c>
      <c r="L98" s="304">
        <v>1332</v>
      </c>
      <c r="M98" s="304">
        <v>539</v>
      </c>
      <c r="N98" s="571" t="s">
        <v>1091</v>
      </c>
      <c r="O98" s="415">
        <f t="shared" si="5"/>
        <v>3877</v>
      </c>
      <c r="P98" s="25"/>
    </row>
    <row r="99" spans="1:16" customFormat="1" ht="12.5" customHeight="1" x14ac:dyDescent="0.35">
      <c r="A99" s="294" t="s">
        <v>1114</v>
      </c>
      <c r="B99" s="316" t="s">
        <v>956</v>
      </c>
      <c r="C99" s="363"/>
      <c r="D99" s="363"/>
      <c r="E99" s="363"/>
      <c r="F99" s="363"/>
      <c r="G99" s="376"/>
      <c r="H99" s="310">
        <f>SUM(H86:H98)</f>
        <v>125168</v>
      </c>
      <c r="I99" s="310">
        <f>SUM(I86:I98)</f>
        <v>20137</v>
      </c>
      <c r="J99" s="310">
        <f>SUM(J86:J98)</f>
        <v>145305</v>
      </c>
      <c r="K99" s="310" t="s">
        <v>1091</v>
      </c>
      <c r="L99" s="310">
        <f>SUM(L86:L98)</f>
        <v>131938</v>
      </c>
      <c r="M99" s="310">
        <f>SUM(M86:M98)</f>
        <v>13702</v>
      </c>
      <c r="N99" s="310" t="s">
        <v>1091</v>
      </c>
      <c r="O99" s="310">
        <f>SUM(O86:O98)</f>
        <v>290945</v>
      </c>
      <c r="P99" s="25"/>
    </row>
    <row r="100" spans="1:16" x14ac:dyDescent="0.3">
      <c r="A100" s="294"/>
      <c r="B100" s="80"/>
      <c r="C100" s="439"/>
      <c r="D100" s="439"/>
      <c r="E100" s="439"/>
      <c r="F100" s="439"/>
      <c r="G100" s="6"/>
      <c r="H100" s="103"/>
      <c r="I100" s="103"/>
      <c r="J100" s="103"/>
      <c r="K100" s="103"/>
      <c r="L100" s="103"/>
      <c r="M100" s="103"/>
      <c r="N100" s="122"/>
      <c r="O100" s="103"/>
    </row>
    <row r="101" spans="1:16" x14ac:dyDescent="0.3">
      <c r="A101" s="294">
        <v>7</v>
      </c>
      <c r="B101" s="434" t="s">
        <v>1099</v>
      </c>
      <c r="C101" s="435"/>
      <c r="D101" s="435"/>
      <c r="E101" s="435"/>
      <c r="F101" s="435"/>
      <c r="G101" s="436"/>
      <c r="H101" s="298"/>
      <c r="I101" s="298"/>
      <c r="J101" s="298"/>
      <c r="K101" s="298"/>
      <c r="L101" s="298"/>
      <c r="M101" s="298"/>
      <c r="N101" s="570"/>
      <c r="O101" s="298"/>
    </row>
    <row r="102" spans="1:16" customFormat="1" ht="12.5" customHeight="1" x14ac:dyDescent="0.35">
      <c r="A102" s="294" t="s">
        <v>729</v>
      </c>
      <c r="B102" s="444"/>
      <c r="C102" s="438" t="s">
        <v>1115</v>
      </c>
      <c r="D102" s="439"/>
      <c r="E102" s="439"/>
      <c r="F102" s="439"/>
      <c r="G102" s="440"/>
      <c r="H102" s="304">
        <v>0</v>
      </c>
      <c r="I102" s="304">
        <v>-3500</v>
      </c>
      <c r="J102" s="415">
        <f>SUM(H102:I102)</f>
        <v>-3500</v>
      </c>
      <c r="K102" s="571" t="s">
        <v>1091</v>
      </c>
      <c r="L102" s="304">
        <v>0</v>
      </c>
      <c r="M102" s="571" t="s">
        <v>1091</v>
      </c>
      <c r="N102" s="304">
        <v>183</v>
      </c>
      <c r="O102" s="415">
        <f>SUM(J102:N102)</f>
        <v>-3317</v>
      </c>
      <c r="P102" s="25"/>
    </row>
    <row r="103" spans="1:16" customFormat="1" ht="12.5" customHeight="1" x14ac:dyDescent="0.35">
      <c r="A103" s="294" t="s">
        <v>730</v>
      </c>
      <c r="B103" s="444"/>
      <c r="C103" s="438" t="s">
        <v>1116</v>
      </c>
      <c r="D103" s="439"/>
      <c r="E103" s="439"/>
      <c r="F103" s="439"/>
      <c r="G103" s="440"/>
      <c r="H103" s="304">
        <v>0</v>
      </c>
      <c r="I103" s="304">
        <v>6247</v>
      </c>
      <c r="J103" s="415">
        <f>SUM(H103:I103)</f>
        <v>6247</v>
      </c>
      <c r="K103" s="304">
        <v>0</v>
      </c>
      <c r="L103" s="304">
        <v>1870</v>
      </c>
      <c r="M103" s="304">
        <v>0</v>
      </c>
      <c r="N103" s="304">
        <v>13791</v>
      </c>
      <c r="O103" s="415">
        <f>SUM(J103:N103)</f>
        <v>21908</v>
      </c>
      <c r="P103" s="25"/>
    </row>
    <row r="104" spans="1:16" customFormat="1" ht="12.5" customHeight="1" x14ac:dyDescent="0.35">
      <c r="A104" s="294" t="s">
        <v>731</v>
      </c>
      <c r="B104" s="316" t="s">
        <v>1117</v>
      </c>
      <c r="C104" s="363"/>
      <c r="D104" s="363"/>
      <c r="E104" s="363"/>
      <c r="F104" s="363"/>
      <c r="G104" s="376"/>
      <c r="H104" s="415">
        <f t="shared" ref="H104:N104" si="6">SUM(H102:H103)</f>
        <v>0</v>
      </c>
      <c r="I104" s="415">
        <f t="shared" si="6"/>
        <v>2747</v>
      </c>
      <c r="J104" s="415">
        <f t="shared" si="6"/>
        <v>2747</v>
      </c>
      <c r="K104" s="415">
        <f t="shared" si="6"/>
        <v>0</v>
      </c>
      <c r="L104" s="415">
        <f t="shared" si="6"/>
        <v>1870</v>
      </c>
      <c r="M104" s="415">
        <f t="shared" si="6"/>
        <v>0</v>
      </c>
      <c r="N104" s="415">
        <f t="shared" si="6"/>
        <v>13974</v>
      </c>
      <c r="O104" s="415">
        <f>SUM(J104:N104)</f>
        <v>18591</v>
      </c>
      <c r="P104" s="25"/>
    </row>
    <row r="105" spans="1:16" x14ac:dyDescent="0.3">
      <c r="A105" s="294"/>
      <c r="B105" s="445"/>
      <c r="C105" s="446"/>
      <c r="D105" s="446"/>
      <c r="E105" s="446"/>
      <c r="F105" s="446"/>
      <c r="G105" s="447"/>
      <c r="H105" s="103"/>
      <c r="I105" s="103"/>
      <c r="J105" s="103"/>
      <c r="K105" s="103"/>
      <c r="L105" s="103"/>
      <c r="M105" s="103"/>
      <c r="N105" s="122"/>
      <c r="O105" s="103"/>
    </row>
    <row r="106" spans="1:16" customFormat="1" ht="12.5" customHeight="1" x14ac:dyDescent="0.35">
      <c r="A106" s="294">
        <v>8</v>
      </c>
      <c r="B106" s="316" t="s">
        <v>639</v>
      </c>
      <c r="C106" s="363"/>
      <c r="D106" s="363"/>
      <c r="E106" s="363"/>
      <c r="F106" s="363"/>
      <c r="G106" s="376"/>
      <c r="H106" s="415">
        <f>SUM(H51,H53,H63,H99,H104)</f>
        <v>441406</v>
      </c>
      <c r="I106" s="415">
        <f>SUM(I51,I53,I63,I68,I73,I99,I104)</f>
        <v>387889</v>
      </c>
      <c r="J106" s="415">
        <f>SUM(J51,J53,J63,J68,J73,J99,J104)</f>
        <v>829295</v>
      </c>
      <c r="K106" s="415">
        <f>SUM(K104)</f>
        <v>0</v>
      </c>
      <c r="L106" s="415">
        <f>SUM(L51,L53,L63,L68,L73,L99,L104)</f>
        <v>505610</v>
      </c>
      <c r="M106" s="415">
        <f>SUM(M51,M53,M63,M68,M73,M99,M104)</f>
        <v>107477</v>
      </c>
      <c r="N106" s="415">
        <f>N68+N73+N104</f>
        <v>13974</v>
      </c>
      <c r="O106" s="415">
        <f>SUM(J106:N106)</f>
        <v>1456356</v>
      </c>
      <c r="P106" s="25"/>
    </row>
  </sheetData>
  <sheetProtection algorithmName="SHA-512" hashValue="I6ffo5vVWGSxHin1CPM34r3LrnrubLVrkJp+mBJ/5YNcnGYlSliGZEwbI97aH3UbNjx2l4oqJ7t9kOWjVedaqw==" saltValue="SxHvoIBd7iYfo9iWNFrbWw==" spinCount="100000" sheet="1" objects="1"/>
  <mergeCells count="1">
    <mergeCell ref="H1:O1"/>
  </mergeCells>
  <dataValidations count="1">
    <dataValidation type="whole" operator="greaterThan" allowBlank="1" showInputMessage="1" showErrorMessage="1" errorTitle="Whole numbers only allowed" error="All monies should be independently rounded to the nearest £1,000." sqref="H6:I50 L6:M50 H53:I53 L53:M53 H56:I56 L56:M56 L58:L60 H60:I60 M60 H62:I62 L62:M62 I66:I67 L66:L67 N66:N67 M67 I71:I72 L71:N72 H77:I85 L77:M85 H87:I98 L87:M98 H102:I103 L102:L103 N102:N103 K103 M103" xr:uid="{00000000-0002-0000-0E00-000000000000}">
      <formula1>-99999999</formula1>
    </dataValidation>
  </dataValidations>
  <printOptions headings="1" gridLines="1"/>
  <pageMargins left="0.31496062992125984" right="0.31496062992125984" top="0.74803149606299213" bottom="0.74803149606299213" header="0.31496062992125984" footer="0.31496062992125984"/>
  <pageSetup paperSize="8" orientation="portrait" r:id="rId1"/>
  <ignoredErrors>
    <ignoredError sqref="J86 O86 M68 K106" formula="1"/>
    <ignoredError sqref="H104:I104"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P42"/>
  <sheetViews>
    <sheetView workbookViewId="0">
      <selection activeCell="N7" sqref="N7"/>
    </sheetView>
  </sheetViews>
  <sheetFormatPr defaultColWidth="9.1796875" defaultRowHeight="12.5" x14ac:dyDescent="0.25"/>
  <cols>
    <col min="1" max="1" width="10" style="84" bestFit="1" customWidth="1"/>
    <col min="2" max="2" width="2.54296875" style="27" customWidth="1"/>
    <col min="3" max="3" width="28.54296875" style="27" bestFit="1" customWidth="1"/>
    <col min="4" max="5" width="3.81640625" style="27" hidden="1" customWidth="1"/>
    <col min="6" max="6" width="3.1796875" style="27" hidden="1" customWidth="1"/>
    <col min="7" max="7" width="2.1796875" style="27" hidden="1" customWidth="1"/>
    <col min="8" max="9" width="15.81640625" style="27" customWidth="1"/>
    <col min="10" max="11" width="14.81640625" style="27" customWidth="1"/>
    <col min="12" max="12" width="14.453125" style="27" customWidth="1"/>
    <col min="13" max="13" width="14.1796875" style="27" customWidth="1"/>
    <col min="14" max="15" width="15.81640625" style="27" customWidth="1"/>
    <col min="16" max="16" width="9.1796875" style="27" customWidth="1"/>
    <col min="17" max="16384" width="9.1796875" style="27"/>
  </cols>
  <sheetData>
    <row r="1" spans="1:16" customFormat="1" ht="15" customHeight="1" x14ac:dyDescent="0.35">
      <c r="A1" s="544" t="s">
        <v>1118</v>
      </c>
      <c r="B1" s="515" t="s">
        <v>1119</v>
      </c>
      <c r="C1" s="515"/>
      <c r="D1" s="515"/>
      <c r="E1" s="515"/>
      <c r="F1" s="515"/>
      <c r="G1" s="515"/>
      <c r="H1" s="691" t="s">
        <v>1120</v>
      </c>
      <c r="I1" s="691"/>
      <c r="J1" s="691"/>
      <c r="K1" s="691"/>
      <c r="L1" s="691"/>
      <c r="M1" s="691"/>
      <c r="N1" s="691"/>
      <c r="O1" s="691"/>
      <c r="P1" s="25"/>
    </row>
    <row r="2" spans="1:16" customFormat="1" ht="15.75" customHeight="1" x14ac:dyDescent="0.35">
      <c r="A2" s="583"/>
      <c r="B2" s="584"/>
      <c r="C2" s="584"/>
      <c r="D2" s="584"/>
      <c r="E2" s="584"/>
      <c r="F2" s="584"/>
      <c r="G2" s="584"/>
      <c r="H2" s="585">
        <v>1</v>
      </c>
      <c r="I2" s="585">
        <v>2</v>
      </c>
      <c r="J2" s="585">
        <v>3</v>
      </c>
      <c r="K2" s="585">
        <v>4</v>
      </c>
      <c r="L2" s="585">
        <v>5</v>
      </c>
      <c r="M2" s="585">
        <v>6</v>
      </c>
      <c r="N2" s="585">
        <v>7</v>
      </c>
      <c r="O2" s="585">
        <v>8</v>
      </c>
      <c r="P2" s="25"/>
    </row>
    <row r="3" spans="1:16" customFormat="1" ht="45" customHeight="1" x14ac:dyDescent="0.35">
      <c r="A3" s="583"/>
      <c r="B3" s="584"/>
      <c r="C3" s="584"/>
      <c r="D3" s="584"/>
      <c r="E3" s="584"/>
      <c r="F3" s="584"/>
      <c r="G3" s="586"/>
      <c r="H3" s="587" t="s">
        <v>616</v>
      </c>
      <c r="I3" s="587" t="s">
        <v>1121</v>
      </c>
      <c r="J3" s="587" t="s">
        <v>1122</v>
      </c>
      <c r="K3" s="566" t="s">
        <v>1123</v>
      </c>
      <c r="L3" s="566" t="s">
        <v>1124</v>
      </c>
      <c r="M3" s="566" t="s">
        <v>1125</v>
      </c>
      <c r="N3" s="587" t="s">
        <v>1126</v>
      </c>
      <c r="O3" s="587" t="s">
        <v>1127</v>
      </c>
      <c r="P3" s="25"/>
    </row>
    <row r="4" spans="1:16" customFormat="1" ht="15" customHeight="1" x14ac:dyDescent="0.35">
      <c r="A4" s="583"/>
      <c r="B4" s="588"/>
      <c r="C4" s="588"/>
      <c r="D4" s="588"/>
      <c r="E4" s="588"/>
      <c r="F4" s="588"/>
      <c r="G4" s="589"/>
      <c r="H4" s="458" t="s">
        <v>607</v>
      </c>
      <c r="I4" s="458" t="s">
        <v>607</v>
      </c>
      <c r="J4" s="458" t="s">
        <v>607</v>
      </c>
      <c r="K4" s="458" t="s">
        <v>607</v>
      </c>
      <c r="L4" s="288" t="s">
        <v>607</v>
      </c>
      <c r="M4" s="288" t="s">
        <v>607</v>
      </c>
      <c r="N4" s="458" t="s">
        <v>607</v>
      </c>
      <c r="O4" s="458" t="s">
        <v>607</v>
      </c>
      <c r="P4" s="25"/>
    </row>
    <row r="5" spans="1:16" customFormat="1" ht="12.75" customHeight="1" x14ac:dyDescent="0.35">
      <c r="A5" s="294">
        <v>1</v>
      </c>
      <c r="B5" s="434" t="s">
        <v>1034</v>
      </c>
      <c r="C5" s="435"/>
      <c r="D5" s="435"/>
      <c r="E5" s="435"/>
      <c r="F5" s="435"/>
      <c r="G5" s="436"/>
      <c r="H5" s="298"/>
      <c r="I5" s="298"/>
      <c r="J5" s="298"/>
      <c r="K5" s="298"/>
      <c r="L5" s="298"/>
      <c r="M5" s="298"/>
      <c r="N5" s="298"/>
      <c r="O5" s="298"/>
      <c r="P5" s="25"/>
    </row>
    <row r="6" spans="1:16" customFormat="1" ht="12.75" customHeight="1" x14ac:dyDescent="0.35">
      <c r="A6" s="294" t="s">
        <v>613</v>
      </c>
      <c r="B6" s="444"/>
      <c r="C6" s="438" t="s">
        <v>1128</v>
      </c>
      <c r="D6" s="439"/>
      <c r="E6" s="439"/>
      <c r="F6" s="439"/>
      <c r="G6" s="440"/>
      <c r="H6" s="536">
        <v>0</v>
      </c>
      <c r="I6" s="536">
        <v>0</v>
      </c>
      <c r="J6" s="536">
        <v>37754</v>
      </c>
      <c r="K6" s="536">
        <v>0</v>
      </c>
      <c r="L6" s="10">
        <v>0</v>
      </c>
      <c r="M6" s="10">
        <v>0</v>
      </c>
      <c r="N6" s="10">
        <v>504</v>
      </c>
      <c r="O6" s="415">
        <f>SUM(H6:J6,K6:N6)</f>
        <v>38258</v>
      </c>
      <c r="P6" s="25"/>
    </row>
    <row r="7" spans="1:16" customFormat="1" ht="12.75" customHeight="1" x14ac:dyDescent="0.35">
      <c r="A7" s="294" t="s">
        <v>615</v>
      </c>
      <c r="B7" s="444"/>
      <c r="C7" s="438" t="s">
        <v>1129</v>
      </c>
      <c r="D7" s="439"/>
      <c r="E7" s="439"/>
      <c r="F7" s="439"/>
      <c r="G7" s="440"/>
      <c r="H7" s="536">
        <v>0</v>
      </c>
      <c r="I7" s="536">
        <v>0</v>
      </c>
      <c r="J7" s="536">
        <v>0</v>
      </c>
      <c r="K7" s="536">
        <v>0</v>
      </c>
      <c r="L7" s="10">
        <v>0</v>
      </c>
      <c r="M7" s="10">
        <v>0</v>
      </c>
      <c r="N7" s="10">
        <v>0</v>
      </c>
      <c r="O7" s="415">
        <f>SUM(H7:J7,K7:N7)</f>
        <v>0</v>
      </c>
      <c r="P7" s="25"/>
    </row>
    <row r="8" spans="1:16" customFormat="1" ht="12.75" customHeight="1" x14ac:dyDescent="0.35">
      <c r="A8" s="404" t="s">
        <v>617</v>
      </c>
      <c r="B8" s="506"/>
      <c r="C8" s="470" t="s">
        <v>682</v>
      </c>
      <c r="D8" s="439"/>
      <c r="E8" s="439"/>
      <c r="F8" s="439"/>
      <c r="G8" s="440"/>
      <c r="H8" s="536">
        <v>0</v>
      </c>
      <c r="I8" s="536">
        <v>0</v>
      </c>
      <c r="J8" s="536">
        <v>0</v>
      </c>
      <c r="K8" s="536">
        <v>0</v>
      </c>
      <c r="L8" s="10">
        <v>0</v>
      </c>
      <c r="M8" s="10">
        <v>0</v>
      </c>
      <c r="N8" s="10">
        <v>0</v>
      </c>
      <c r="O8" s="415">
        <f>SUM(H8:J8,K8:N8)</f>
        <v>0</v>
      </c>
      <c r="P8" s="25"/>
    </row>
    <row r="9" spans="1:16" customFormat="1" ht="12.75" customHeight="1" x14ac:dyDescent="0.35">
      <c r="A9" s="404"/>
      <c r="B9" s="506"/>
      <c r="C9" s="470"/>
      <c r="D9" s="439"/>
      <c r="E9" s="439"/>
      <c r="F9" s="439"/>
      <c r="G9" s="440"/>
      <c r="H9" s="539"/>
      <c r="I9" s="539"/>
      <c r="J9" s="539"/>
      <c r="K9" s="539"/>
      <c r="L9" s="118"/>
      <c r="M9" s="118"/>
      <c r="N9" s="118"/>
      <c r="O9" s="590"/>
      <c r="P9" s="25"/>
    </row>
    <row r="10" spans="1:16" customFormat="1" ht="12.75" customHeight="1" x14ac:dyDescent="0.35">
      <c r="A10" s="404">
        <v>2</v>
      </c>
      <c r="B10" s="459" t="s">
        <v>1104</v>
      </c>
      <c r="C10" s="460"/>
      <c r="D10" s="435"/>
      <c r="E10" s="435"/>
      <c r="F10" s="435"/>
      <c r="G10" s="436"/>
      <c r="H10" s="298"/>
      <c r="I10" s="298"/>
      <c r="J10" s="298"/>
      <c r="K10" s="591"/>
      <c r="L10" s="298"/>
      <c r="M10" s="298"/>
      <c r="N10" s="298"/>
      <c r="O10" s="298"/>
      <c r="P10" s="25"/>
    </row>
    <row r="11" spans="1:16" customFormat="1" ht="12.75" customHeight="1" x14ac:dyDescent="0.35">
      <c r="A11" s="404" t="s">
        <v>628</v>
      </c>
      <c r="B11" s="506"/>
      <c r="C11" s="470" t="s">
        <v>1128</v>
      </c>
      <c r="D11" s="439"/>
      <c r="E11" s="439"/>
      <c r="F11" s="439"/>
      <c r="G11" s="440"/>
      <c r="H11" s="536">
        <v>0</v>
      </c>
      <c r="I11" s="536">
        <v>0</v>
      </c>
      <c r="J11" s="536">
        <v>0</v>
      </c>
      <c r="K11" s="536">
        <v>0</v>
      </c>
      <c r="L11" s="10">
        <v>0</v>
      </c>
      <c r="M11" s="10">
        <v>0</v>
      </c>
      <c r="N11" s="10">
        <v>0</v>
      </c>
      <c r="O11" s="415">
        <f>SUM(H11:J11,K11:N11)</f>
        <v>0</v>
      </c>
      <c r="P11" s="25"/>
    </row>
    <row r="12" spans="1:16" customFormat="1" ht="12.75" customHeight="1" x14ac:dyDescent="0.35">
      <c r="A12" s="404" t="s">
        <v>630</v>
      </c>
      <c r="B12" s="506"/>
      <c r="C12" s="470" t="s">
        <v>1129</v>
      </c>
      <c r="D12" s="439"/>
      <c r="E12" s="439"/>
      <c r="F12" s="439"/>
      <c r="G12" s="440"/>
      <c r="H12" s="536">
        <v>0</v>
      </c>
      <c r="I12" s="536">
        <v>0</v>
      </c>
      <c r="J12" s="536">
        <v>589</v>
      </c>
      <c r="K12" s="536">
        <v>0</v>
      </c>
      <c r="L12" s="10">
        <v>0</v>
      </c>
      <c r="M12" s="10">
        <v>0</v>
      </c>
      <c r="N12" s="10">
        <v>0</v>
      </c>
      <c r="O12" s="415">
        <f>SUM(H12:J12,K12:N12)</f>
        <v>589</v>
      </c>
      <c r="P12" s="25"/>
    </row>
    <row r="13" spans="1:16" customFormat="1" ht="12.75" customHeight="1" x14ac:dyDescent="0.35">
      <c r="A13" s="404" t="s">
        <v>632</v>
      </c>
      <c r="B13" s="506"/>
      <c r="C13" s="470" t="s">
        <v>682</v>
      </c>
      <c r="D13" s="439"/>
      <c r="E13" s="439"/>
      <c r="F13" s="439"/>
      <c r="G13" s="440"/>
      <c r="H13" s="536">
        <v>0</v>
      </c>
      <c r="I13" s="536">
        <v>0</v>
      </c>
      <c r="J13" s="536">
        <v>0</v>
      </c>
      <c r="K13" s="536">
        <v>0</v>
      </c>
      <c r="L13" s="10">
        <v>0</v>
      </c>
      <c r="M13" s="10">
        <v>0</v>
      </c>
      <c r="N13" s="10">
        <v>0</v>
      </c>
      <c r="O13" s="415">
        <f>SUM(H13:J13,K13:N13)</f>
        <v>0</v>
      </c>
      <c r="P13" s="25"/>
    </row>
    <row r="14" spans="1:16" customFormat="1" ht="12.75" customHeight="1" x14ac:dyDescent="0.35">
      <c r="A14" s="404"/>
      <c r="B14" s="506"/>
      <c r="C14" s="470"/>
      <c r="D14" s="439"/>
      <c r="E14" s="439"/>
      <c r="F14" s="439"/>
      <c r="G14" s="440"/>
      <c r="H14" s="539"/>
      <c r="I14" s="539"/>
      <c r="J14" s="539"/>
      <c r="K14" s="539"/>
      <c r="L14" s="118"/>
      <c r="M14" s="118"/>
      <c r="N14" s="118"/>
      <c r="O14" s="590"/>
      <c r="P14" s="25"/>
    </row>
    <row r="15" spans="1:16" customFormat="1" ht="12.75" customHeight="1" x14ac:dyDescent="0.35">
      <c r="A15" s="404">
        <v>3</v>
      </c>
      <c r="B15" s="459" t="s">
        <v>1130</v>
      </c>
      <c r="C15" s="460"/>
      <c r="D15" s="435"/>
      <c r="E15" s="435"/>
      <c r="F15" s="435"/>
      <c r="G15" s="436"/>
      <c r="H15" s="592"/>
      <c r="I15" s="592"/>
      <c r="J15" s="592"/>
      <c r="K15" s="593"/>
      <c r="L15" s="593"/>
      <c r="M15" s="593"/>
      <c r="N15" s="593"/>
      <c r="O15" s="592"/>
      <c r="P15" s="25"/>
    </row>
    <row r="16" spans="1:16" customFormat="1" ht="12.75" customHeight="1" x14ac:dyDescent="0.35">
      <c r="A16" s="404" t="s">
        <v>123</v>
      </c>
      <c r="B16" s="506"/>
      <c r="C16" s="470" t="s">
        <v>1128</v>
      </c>
      <c r="D16" s="439"/>
      <c r="E16" s="439"/>
      <c r="F16" s="439"/>
      <c r="G16" s="440"/>
      <c r="H16" s="536">
        <v>17415</v>
      </c>
      <c r="I16" s="536">
        <v>406</v>
      </c>
      <c r="J16" s="536">
        <v>88159</v>
      </c>
      <c r="K16" s="536">
        <v>0</v>
      </c>
      <c r="L16" s="10">
        <v>0</v>
      </c>
      <c r="M16" s="10">
        <v>0</v>
      </c>
      <c r="N16" s="10">
        <v>4394</v>
      </c>
      <c r="O16" s="415">
        <f>SUM(H16:J16,K16:N16)</f>
        <v>110374</v>
      </c>
      <c r="P16" s="25"/>
    </row>
    <row r="17" spans="1:16" customFormat="1" ht="12.75" customHeight="1" x14ac:dyDescent="0.35">
      <c r="A17" s="404" t="s">
        <v>709</v>
      </c>
      <c r="B17" s="506"/>
      <c r="C17" s="470" t="s">
        <v>1129</v>
      </c>
      <c r="D17" s="439"/>
      <c r="E17" s="439"/>
      <c r="F17" s="439"/>
      <c r="G17" s="440"/>
      <c r="H17" s="536">
        <v>0</v>
      </c>
      <c r="I17" s="536">
        <v>0</v>
      </c>
      <c r="J17" s="536">
        <v>30011</v>
      </c>
      <c r="K17" s="536">
        <v>0</v>
      </c>
      <c r="L17" s="10">
        <v>0</v>
      </c>
      <c r="M17" s="10">
        <v>0</v>
      </c>
      <c r="N17" s="10">
        <v>26580</v>
      </c>
      <c r="O17" s="415">
        <f>SUM(H17:J17,K17:N17)</f>
        <v>56591</v>
      </c>
      <c r="P17" s="25"/>
    </row>
    <row r="18" spans="1:16" customFormat="1" ht="12.75" customHeight="1" x14ac:dyDescent="0.35">
      <c r="A18" s="404" t="s">
        <v>711</v>
      </c>
      <c r="B18" s="506"/>
      <c r="C18" s="470" t="s">
        <v>682</v>
      </c>
      <c r="D18" s="439"/>
      <c r="E18" s="439"/>
      <c r="F18" s="439"/>
      <c r="G18" s="440"/>
      <c r="H18" s="536">
        <v>0</v>
      </c>
      <c r="I18" s="536">
        <v>0</v>
      </c>
      <c r="J18" s="536">
        <v>846</v>
      </c>
      <c r="K18" s="536">
        <v>0</v>
      </c>
      <c r="L18" s="10">
        <v>0</v>
      </c>
      <c r="M18" s="10">
        <v>0</v>
      </c>
      <c r="N18" s="10">
        <v>0</v>
      </c>
      <c r="O18" s="415">
        <f>SUM(H18:J18,K18:N18)</f>
        <v>846</v>
      </c>
      <c r="P18" s="25"/>
    </row>
    <row r="19" spans="1:16" customFormat="1" ht="12.75" customHeight="1" x14ac:dyDescent="0.35">
      <c r="A19" s="294"/>
      <c r="B19" s="444"/>
      <c r="C19" s="438"/>
      <c r="D19" s="439"/>
      <c r="E19" s="439"/>
      <c r="F19" s="439"/>
      <c r="G19" s="440"/>
      <c r="H19" s="539"/>
      <c r="I19" s="539"/>
      <c r="J19" s="539"/>
      <c r="K19" s="540"/>
      <c r="L19" s="118"/>
      <c r="M19" s="118"/>
      <c r="N19" s="118"/>
      <c r="O19" s="590"/>
      <c r="P19" s="25"/>
    </row>
    <row r="20" spans="1:16" customFormat="1" ht="12.75" customHeight="1" x14ac:dyDescent="0.35">
      <c r="A20" s="294">
        <v>4</v>
      </c>
      <c r="B20" s="316" t="s">
        <v>1131</v>
      </c>
      <c r="C20" s="363"/>
      <c r="D20" s="363"/>
      <c r="E20" s="363"/>
      <c r="F20" s="363"/>
      <c r="G20" s="376"/>
      <c r="H20" s="488">
        <f t="shared" ref="H20:N20" si="0">SUM(H6:H8)+SUM(H11:H13)+SUM(H16:H18)</f>
        <v>17415</v>
      </c>
      <c r="I20" s="488">
        <f t="shared" si="0"/>
        <v>406</v>
      </c>
      <c r="J20" s="488">
        <f t="shared" si="0"/>
        <v>157359</v>
      </c>
      <c r="K20" s="488">
        <f t="shared" si="0"/>
        <v>0</v>
      </c>
      <c r="L20" s="488">
        <f t="shared" si="0"/>
        <v>0</v>
      </c>
      <c r="M20" s="488">
        <f t="shared" si="0"/>
        <v>0</v>
      </c>
      <c r="N20" s="488">
        <f t="shared" si="0"/>
        <v>31478</v>
      </c>
      <c r="O20" s="415">
        <f>SUM(H20:J20,K20:N20)</f>
        <v>206658</v>
      </c>
      <c r="P20" s="25"/>
    </row>
    <row r="32" spans="1:16" customFormat="1" ht="14.5" x14ac:dyDescent="0.35"/>
    <row r="42" spans="3:3" x14ac:dyDescent="0.25">
      <c r="C42" s="141"/>
    </row>
  </sheetData>
  <sheetProtection algorithmName="SHA-512" hashValue="LpUBA7ixdNw43CMnJ/NDzWAfZMpnh0qSL5NxtmXFIZuWBbEyP3G7vzf+cAKrRIUR0AhpaknEv/sk8DXvQlnP8A==" saltValue="7JexQKTtqZGroPcz5LQKhg==" spinCount="100000" sheet="1" objects="1"/>
  <mergeCells count="1">
    <mergeCell ref="H1:O1"/>
  </mergeCells>
  <dataValidations count="1">
    <dataValidation type="whole" operator="greaterThan" allowBlank="1" showInputMessage="1" showErrorMessage="1" errorTitle="Whole numbers only allowed" error="All monies should be independently rounded to the nearest £1,000." sqref="H6:O8 H11:O13 H16:O18" xr:uid="{00000000-0002-0000-0F00-000000000000}">
      <formula1>-99999999</formula1>
    </dataValidation>
  </dataValidations>
  <printOptions headings="1" gridLines="1"/>
  <pageMargins left="0.31496062992125984" right="0.31496062992125984" top="0.74803149606299213" bottom="0.74803149606299213"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A54"/>
  <sheetViews>
    <sheetView zoomScale="90" zoomScaleNormal="90" workbookViewId="0">
      <pane ySplit="4" topLeftCell="A5" activePane="bottomLeft" state="frozenSplit"/>
      <selection activeCell="P23" sqref="P23 P23:Q23"/>
      <selection pane="bottomLeft" activeCell="L15" sqref="L15"/>
    </sheetView>
  </sheetViews>
  <sheetFormatPr defaultColWidth="9.1796875" defaultRowHeight="12.5" x14ac:dyDescent="0.25"/>
  <cols>
    <col min="1" max="1" width="12.453125" style="84" customWidth="1"/>
    <col min="2" max="2" width="2.81640625" style="27" customWidth="1"/>
    <col min="3" max="3" width="77.81640625" style="27" customWidth="1"/>
    <col min="4" max="4" width="52.1796875" style="27" hidden="1" customWidth="1"/>
    <col min="5" max="5" width="3.1796875" style="27" hidden="1" customWidth="1"/>
    <col min="6" max="6" width="4.1796875" style="27" hidden="1" customWidth="1"/>
    <col min="7" max="7" width="2.81640625" style="27" hidden="1" customWidth="1"/>
    <col min="8" max="9" width="16.453125" style="27" customWidth="1"/>
    <col min="10" max="10" width="17.1796875" style="27" hidden="1" customWidth="1"/>
    <col min="11" max="11" width="59" style="92" customWidth="1"/>
    <col min="12" max="12" width="66.453125" style="92" customWidth="1"/>
    <col min="13" max="13" width="6.81640625" style="92" hidden="1" customWidth="1"/>
    <col min="14" max="14" width="18.453125" style="27" hidden="1" customWidth="1"/>
    <col min="15" max="15" width="15.81640625" style="45" hidden="1" customWidth="1"/>
    <col min="16" max="16" width="12.1796875" style="27" hidden="1" customWidth="1"/>
    <col min="17" max="17" width="11.81640625" style="27" hidden="1" customWidth="1"/>
    <col min="18" max="18" width="16.81640625" style="45" hidden="1" customWidth="1"/>
    <col min="19" max="19" width="15.54296875" style="27" hidden="1" customWidth="1"/>
    <col min="20" max="20" width="12.54296875" style="27" hidden="1" customWidth="1"/>
    <col min="21" max="21" width="17.81640625" style="27" hidden="1" customWidth="1"/>
    <col min="22" max="22" width="13.1796875" style="27" hidden="1" customWidth="1"/>
    <col min="23" max="23" width="15.453125" style="27" hidden="1" customWidth="1"/>
    <col min="24" max="24" width="19.54296875" style="27" hidden="1" customWidth="1"/>
    <col min="25" max="25" width="13.1796875" style="27" hidden="1" customWidth="1"/>
    <col min="26" max="26" width="13.453125" style="27" hidden="1" customWidth="1"/>
    <col min="27" max="27" width="9.1796875" style="27" customWidth="1"/>
    <col min="28" max="16384" width="9.1796875" style="27"/>
  </cols>
  <sheetData>
    <row r="1" spans="1:27" customFormat="1" ht="65.25" customHeight="1" thickBot="1" x14ac:dyDescent="0.4">
      <c r="A1" s="274" t="s">
        <v>1132</v>
      </c>
      <c r="B1" s="679" t="s">
        <v>1133</v>
      </c>
      <c r="C1" s="679"/>
      <c r="D1" s="679"/>
      <c r="E1" s="679"/>
      <c r="F1" s="679"/>
      <c r="G1" s="679"/>
      <c r="H1" s="345"/>
      <c r="I1" s="277" t="s">
        <v>599</v>
      </c>
      <c r="J1" s="277" t="s">
        <v>599</v>
      </c>
      <c r="K1" s="25"/>
      <c r="L1" s="25"/>
      <c r="M1" s="25"/>
      <c r="N1" s="279" t="str">
        <f>Title_Page!H177</f>
        <v>PASS</v>
      </c>
      <c r="O1" s="25"/>
      <c r="P1" s="25"/>
      <c r="Q1" s="25"/>
      <c r="R1" s="25"/>
      <c r="S1" s="25"/>
      <c r="T1" s="25"/>
      <c r="U1" s="25"/>
      <c r="V1" s="25"/>
      <c r="W1" s="25"/>
      <c r="X1" s="25"/>
      <c r="Y1" s="25"/>
      <c r="Z1" s="25"/>
      <c r="AA1" s="25"/>
    </row>
    <row r="2" spans="1:27" customFormat="1" ht="45" customHeight="1" x14ac:dyDescent="0.35">
      <c r="A2" s="280"/>
      <c r="B2" s="281" t="str">
        <f>'Hide_me(drop_downs)'!I1</f>
        <v>Year ended 31 July 2025</v>
      </c>
      <c r="C2" s="347"/>
      <c r="D2" s="347"/>
      <c r="E2" s="347"/>
      <c r="F2" s="347"/>
      <c r="G2" s="347"/>
      <c r="H2" s="347"/>
      <c r="I2" s="283" t="s">
        <v>600</v>
      </c>
      <c r="J2" s="283" t="s">
        <v>601</v>
      </c>
      <c r="K2" s="715" t="s">
        <v>1134</v>
      </c>
      <c r="L2" s="715"/>
      <c r="M2" s="8"/>
      <c r="N2" s="27" t="s">
        <v>603</v>
      </c>
      <c r="O2" s="25"/>
      <c r="P2" s="25"/>
      <c r="Q2" s="25"/>
      <c r="R2" s="25"/>
      <c r="S2" s="25"/>
      <c r="T2" s="25"/>
      <c r="U2" s="25"/>
      <c r="V2" s="25"/>
      <c r="W2" s="25"/>
      <c r="X2" s="25"/>
      <c r="Y2" s="25"/>
      <c r="Z2" s="25"/>
      <c r="AA2" s="25"/>
    </row>
    <row r="3" spans="1:27" customFormat="1" ht="39.75" customHeight="1" x14ac:dyDescent="0.35">
      <c r="A3" s="284"/>
      <c r="B3" s="285"/>
      <c r="C3" s="285"/>
      <c r="D3" s="285"/>
      <c r="E3" s="285"/>
      <c r="F3" s="285"/>
      <c r="G3" s="286"/>
      <c r="H3" s="287" t="str">
        <f>'Hide_me(drop_downs)'!I1</f>
        <v>Year ended 31 July 2025</v>
      </c>
      <c r="I3" s="288" t="str">
        <f>'Hide_me(drop_downs)'!J1</f>
        <v>Year ended 31 July 2024</v>
      </c>
      <c r="J3" s="288" t="str">
        <f>'Hide_me(drop_downs)'!J1</f>
        <v>Year ended 31 July 2024</v>
      </c>
      <c r="K3" s="144" t="str">
        <f>'Hide_me(drop_downs)'!I1</f>
        <v>Year ended 31 July 2025</v>
      </c>
      <c r="L3" s="145" t="str">
        <f>'Hide_me(drop_downs)'!J1</f>
        <v>Year ended 31 July 2024</v>
      </c>
      <c r="M3" s="8"/>
      <c r="N3" s="27" t="s">
        <v>605</v>
      </c>
      <c r="O3" s="25"/>
      <c r="P3" s="711" t="s">
        <v>1135</v>
      </c>
      <c r="Q3" s="711"/>
      <c r="R3" s="25"/>
      <c r="S3" s="711" t="s">
        <v>1135</v>
      </c>
      <c r="T3" s="711"/>
      <c r="U3" s="45"/>
      <c r="V3" s="711" t="s">
        <v>1135</v>
      </c>
      <c r="W3" s="711"/>
      <c r="X3" s="45"/>
      <c r="Y3" s="711" t="s">
        <v>1135</v>
      </c>
      <c r="Z3" s="711"/>
      <c r="AA3" s="25"/>
    </row>
    <row r="4" spans="1:27" customFormat="1" ht="21" customHeight="1" thickBot="1" x14ac:dyDescent="0.4">
      <c r="A4" s="290"/>
      <c r="B4" s="291"/>
      <c r="C4" s="291"/>
      <c r="D4" s="291"/>
      <c r="E4" s="291"/>
      <c r="F4" s="291"/>
      <c r="G4" s="292"/>
      <c r="H4" s="293" t="s">
        <v>607</v>
      </c>
      <c r="I4" s="293" t="s">
        <v>607</v>
      </c>
      <c r="J4" s="293" t="s">
        <v>607</v>
      </c>
      <c r="K4" s="124" t="s">
        <v>1136</v>
      </c>
      <c r="L4" s="124" t="s">
        <v>1136</v>
      </c>
      <c r="M4" s="125"/>
      <c r="N4" s="68" t="s">
        <v>230</v>
      </c>
      <c r="O4" s="70" t="s">
        <v>1137</v>
      </c>
      <c r="P4" s="8" t="s">
        <v>1138</v>
      </c>
      <c r="Q4" s="78" t="s">
        <v>1139</v>
      </c>
      <c r="R4" s="70" t="s">
        <v>1140</v>
      </c>
      <c r="S4" s="78" t="s">
        <v>1138</v>
      </c>
      <c r="T4" s="78" t="s">
        <v>1139</v>
      </c>
      <c r="U4" s="70" t="s">
        <v>1141</v>
      </c>
      <c r="V4" s="8" t="s">
        <v>1138</v>
      </c>
      <c r="W4" s="78" t="s">
        <v>1139</v>
      </c>
      <c r="X4" s="70" t="s">
        <v>1142</v>
      </c>
      <c r="Y4" s="27" t="s">
        <v>1138</v>
      </c>
      <c r="Z4" s="78" t="s">
        <v>1139</v>
      </c>
      <c r="AA4" s="25"/>
    </row>
    <row r="5" spans="1:27" customFormat="1" ht="12.75" customHeight="1" thickBot="1" x14ac:dyDescent="0.4">
      <c r="A5" s="294">
        <v>1</v>
      </c>
      <c r="B5" s="295" t="s">
        <v>611</v>
      </c>
      <c r="C5" s="296"/>
      <c r="D5" s="296"/>
      <c r="E5" s="296"/>
      <c r="F5" s="296"/>
      <c r="G5" s="297"/>
      <c r="H5" s="298"/>
      <c r="I5" s="298"/>
      <c r="J5" s="298"/>
      <c r="K5" s="25"/>
      <c r="L5" s="25"/>
      <c r="M5" s="25"/>
      <c r="N5" s="356" t="str">
        <f>IF(N1="FAIL","Head","")</f>
        <v/>
      </c>
      <c r="O5" s="25"/>
      <c r="P5" s="45"/>
      <c r="Q5" s="25"/>
      <c r="R5" s="25"/>
      <c r="S5" s="25"/>
      <c r="T5" s="25"/>
      <c r="U5" s="45"/>
      <c r="V5" s="45"/>
      <c r="W5" s="25"/>
      <c r="X5" s="45"/>
      <c r="Y5" s="25"/>
      <c r="Z5" s="25"/>
      <c r="AA5" s="25"/>
    </row>
    <row r="6" spans="1:27" customFormat="1" ht="12.75" customHeight="1" thickBot="1" x14ac:dyDescent="0.4">
      <c r="A6" s="294" t="s">
        <v>613</v>
      </c>
      <c r="B6" s="300"/>
      <c r="C6" s="301" t="s">
        <v>614</v>
      </c>
      <c r="D6" s="301"/>
      <c r="E6" s="302"/>
      <c r="F6" s="302"/>
      <c r="G6" s="303"/>
      <c r="H6" s="306">
        <v>0</v>
      </c>
      <c r="I6" s="306">
        <v>0</v>
      </c>
      <c r="J6" s="327">
        <v>0</v>
      </c>
      <c r="K6" s="73"/>
      <c r="L6" s="73"/>
      <c r="M6" s="74"/>
      <c r="N6" s="75" t="str">
        <f t="shared" ref="N6:N11" si="0">IF(I6&lt;&gt;J6,A6&amp;" ("&amp;I6&amp;", "&amp;J6&amp;")"&amp;", ","")</f>
        <v/>
      </c>
      <c r="O6" s="45" t="str">
        <f>IF(OR(AND(SUM(Table_9_UK!H6)&lt;&gt;0,ISBLANK(Table_9_UK!K6))),"Fail", "Pass")</f>
        <v>Pass</v>
      </c>
      <c r="P6" s="45" t="str">
        <f t="shared" ref="P6:P11" si="1">"Head "&amp;A6&amp;", "</f>
        <v xml:space="preserve">Head 1a, </v>
      </c>
      <c r="Q6" s="27" t="str">
        <f t="shared" ref="Q6:Q11" si="2">IF(O6 = "Fail", P6, "")</f>
        <v/>
      </c>
      <c r="R6" s="45" t="str">
        <f t="shared" ref="R6:R11" si="3">IF(AND(SUM(H6)=0,NOT(ISBLANK(K6))),"Fail","Pass")</f>
        <v>Pass</v>
      </c>
      <c r="S6" s="45" t="str">
        <f t="shared" ref="S6:S11" si="4">"Head "&amp;A6&amp;" ("&amp;H6&amp;"), "</f>
        <v xml:space="preserve">Head 1a (0), </v>
      </c>
      <c r="T6" s="27" t="str">
        <f t="shared" ref="T6:T11" si="5">IF(R6 = "Fail", S6, "")</f>
        <v/>
      </c>
      <c r="U6" s="45" t="str">
        <f>IF(OR(AND(SUM(Table_9_UK!I6)&lt;&gt;0,ISBLANK(Table_9_UK!L6))),"Fail", "Pass")</f>
        <v>Pass</v>
      </c>
      <c r="V6" s="45" t="str">
        <f t="shared" ref="V6:V11" si="6">"Head "&amp;A6&amp;", "</f>
        <v xml:space="preserve">Head 1a, </v>
      </c>
      <c r="W6" s="27" t="str">
        <f t="shared" ref="W6:W11" si="7">IF(U6 = "Fail", V6, "")</f>
        <v/>
      </c>
      <c r="X6" s="45" t="str">
        <f t="shared" ref="X6:X11" si="8">IF(AND(SUM(I6)=0,NOT(ISBLANK(L6))),"Fail","Pass")</f>
        <v>Pass</v>
      </c>
      <c r="Y6" s="45" t="str">
        <f t="shared" ref="Y6:Y11" si="9">"Head "&amp;A6&amp;" ("&amp;I6&amp;"), "</f>
        <v xml:space="preserve">Head 1a (0), </v>
      </c>
      <c r="Z6" s="27" t="str">
        <f t="shared" ref="Z6:Z11" si="10">IF(X6 = "Fail", Y6, "")</f>
        <v/>
      </c>
      <c r="AA6" s="25"/>
    </row>
    <row r="7" spans="1:27" customFormat="1" ht="12.75" customHeight="1" thickBot="1" x14ac:dyDescent="0.4">
      <c r="A7" s="294" t="s">
        <v>615</v>
      </c>
      <c r="B7" s="300"/>
      <c r="C7" s="301" t="s">
        <v>616</v>
      </c>
      <c r="D7" s="301"/>
      <c r="E7" s="302"/>
      <c r="F7" s="302"/>
      <c r="G7" s="303"/>
      <c r="H7" s="306">
        <v>0</v>
      </c>
      <c r="I7" s="306">
        <v>0</v>
      </c>
      <c r="J7" s="327">
        <v>0</v>
      </c>
      <c r="K7" s="73"/>
      <c r="L7" s="73"/>
      <c r="M7" s="74"/>
      <c r="N7" s="75" t="str">
        <f t="shared" si="0"/>
        <v/>
      </c>
      <c r="O7" s="45" t="str">
        <f>IF(OR(AND(SUM(Table_9_UK!H7)&lt;&gt;0,ISBLANK(Table_9_UK!K7))),"Fail", "Pass")</f>
        <v>Pass</v>
      </c>
      <c r="P7" s="45" t="str">
        <f t="shared" si="1"/>
        <v xml:space="preserve">Head 1b, </v>
      </c>
      <c r="Q7" s="27" t="str">
        <f t="shared" si="2"/>
        <v/>
      </c>
      <c r="R7" s="45" t="str">
        <f t="shared" si="3"/>
        <v>Pass</v>
      </c>
      <c r="S7" s="45" t="str">
        <f t="shared" si="4"/>
        <v xml:space="preserve">Head 1b (0), </v>
      </c>
      <c r="T7" s="27" t="str">
        <f t="shared" si="5"/>
        <v/>
      </c>
      <c r="U7" s="45" t="str">
        <f>IF(OR(AND(SUM(Table_9_UK!I7)&lt;&gt;0,ISBLANK(Table_9_UK!L7))),"Fail", "Pass")</f>
        <v>Pass</v>
      </c>
      <c r="V7" s="45" t="str">
        <f t="shared" si="6"/>
        <v xml:space="preserve">Head 1b, </v>
      </c>
      <c r="W7" s="27" t="str">
        <f t="shared" si="7"/>
        <v/>
      </c>
      <c r="X7" s="45" t="str">
        <f t="shared" si="8"/>
        <v>Pass</v>
      </c>
      <c r="Y7" s="45" t="str">
        <f t="shared" si="9"/>
        <v xml:space="preserve">Head 1b (0), </v>
      </c>
      <c r="Z7" s="27" t="str">
        <f t="shared" si="10"/>
        <v/>
      </c>
      <c r="AA7" s="25"/>
    </row>
    <row r="8" spans="1:27" customFormat="1" ht="12.75" customHeight="1" thickBot="1" x14ac:dyDescent="0.4">
      <c r="A8" s="294" t="s">
        <v>617</v>
      </c>
      <c r="B8" s="300"/>
      <c r="C8" s="301" t="s">
        <v>618</v>
      </c>
      <c r="D8" s="301"/>
      <c r="E8" s="302"/>
      <c r="F8" s="302"/>
      <c r="G8" s="303"/>
      <c r="H8" s="306">
        <v>0</v>
      </c>
      <c r="I8" s="306">
        <v>0</v>
      </c>
      <c r="J8" s="327">
        <v>0</v>
      </c>
      <c r="K8" s="73"/>
      <c r="L8" s="73"/>
      <c r="M8" s="74"/>
      <c r="N8" s="75" t="str">
        <f t="shared" si="0"/>
        <v/>
      </c>
      <c r="O8" s="45" t="str">
        <f>IF(OR(AND(SUM(Table_9_UK!H8)&lt;&gt;0,ISBLANK(Table_9_UK!K8))),"Fail", "Pass")</f>
        <v>Pass</v>
      </c>
      <c r="P8" s="45" t="str">
        <f t="shared" si="1"/>
        <v xml:space="preserve">Head 1c, </v>
      </c>
      <c r="Q8" s="27" t="str">
        <f t="shared" si="2"/>
        <v/>
      </c>
      <c r="R8" s="45" t="str">
        <f t="shared" si="3"/>
        <v>Pass</v>
      </c>
      <c r="S8" s="45" t="str">
        <f t="shared" si="4"/>
        <v xml:space="preserve">Head 1c (0), </v>
      </c>
      <c r="T8" s="27" t="str">
        <f t="shared" si="5"/>
        <v/>
      </c>
      <c r="U8" s="45" t="str">
        <f>IF(OR(AND(SUM(Table_9_UK!I8)&lt;&gt;0,ISBLANK(Table_9_UK!L8))),"Fail", "Pass")</f>
        <v>Pass</v>
      </c>
      <c r="V8" s="45" t="str">
        <f t="shared" si="6"/>
        <v xml:space="preserve">Head 1c, </v>
      </c>
      <c r="W8" s="27" t="str">
        <f t="shared" si="7"/>
        <v/>
      </c>
      <c r="X8" s="45" t="str">
        <f t="shared" si="8"/>
        <v>Pass</v>
      </c>
      <c r="Y8" s="45" t="str">
        <f t="shared" si="9"/>
        <v xml:space="preserve">Head 1c (0), </v>
      </c>
      <c r="Z8" s="27" t="str">
        <f t="shared" si="10"/>
        <v/>
      </c>
      <c r="AA8" s="25"/>
    </row>
    <row r="9" spans="1:27" customFormat="1" ht="12.75" customHeight="1" thickBot="1" x14ac:dyDescent="0.4">
      <c r="A9" s="294" t="s">
        <v>619</v>
      </c>
      <c r="B9" s="300"/>
      <c r="C9" s="301" t="s">
        <v>620</v>
      </c>
      <c r="D9" s="301"/>
      <c r="E9" s="302"/>
      <c r="F9" s="302"/>
      <c r="G9" s="303"/>
      <c r="H9" s="306">
        <v>0</v>
      </c>
      <c r="I9" s="306">
        <v>0</v>
      </c>
      <c r="J9" s="327">
        <v>0</v>
      </c>
      <c r="K9" s="73"/>
      <c r="L9" s="73"/>
      <c r="M9" s="74"/>
      <c r="N9" s="75" t="str">
        <f t="shared" si="0"/>
        <v/>
      </c>
      <c r="O9" s="45" t="str">
        <f>IF(OR(AND(SUM(Table_9_UK!H9)&lt;&gt;0,ISBLANK(Table_9_UK!K9))),"Fail", "Pass")</f>
        <v>Pass</v>
      </c>
      <c r="P9" s="45" t="str">
        <f t="shared" si="1"/>
        <v xml:space="preserve">Head 1d, </v>
      </c>
      <c r="Q9" s="27" t="str">
        <f t="shared" si="2"/>
        <v/>
      </c>
      <c r="R9" s="45" t="str">
        <f t="shared" si="3"/>
        <v>Pass</v>
      </c>
      <c r="S9" s="45" t="str">
        <f t="shared" si="4"/>
        <v xml:space="preserve">Head 1d (0), </v>
      </c>
      <c r="T9" s="27" t="str">
        <f t="shared" si="5"/>
        <v/>
      </c>
      <c r="U9" s="45" t="str">
        <f>IF(OR(AND(SUM(Table_9_UK!I9)&lt;&gt;0,ISBLANK(Table_9_UK!L9))),"Fail", "Pass")</f>
        <v>Pass</v>
      </c>
      <c r="V9" s="45" t="str">
        <f t="shared" si="6"/>
        <v xml:space="preserve">Head 1d, </v>
      </c>
      <c r="W9" s="27" t="str">
        <f t="shared" si="7"/>
        <v/>
      </c>
      <c r="X9" s="45" t="str">
        <f t="shared" si="8"/>
        <v>Pass</v>
      </c>
      <c r="Y9" s="45" t="str">
        <f t="shared" si="9"/>
        <v xml:space="preserve">Head 1d (0), </v>
      </c>
      <c r="Z9" s="27" t="str">
        <f t="shared" si="10"/>
        <v/>
      </c>
      <c r="AA9" s="25"/>
    </row>
    <row r="10" spans="1:27" customFormat="1" ht="12.75" customHeight="1" thickBot="1" x14ac:dyDescent="0.4">
      <c r="A10" s="294" t="s">
        <v>621</v>
      </c>
      <c r="B10" s="300"/>
      <c r="C10" s="301" t="s">
        <v>622</v>
      </c>
      <c r="D10" s="301"/>
      <c r="E10" s="302"/>
      <c r="F10" s="302"/>
      <c r="G10" s="303"/>
      <c r="H10" s="306">
        <v>0</v>
      </c>
      <c r="I10" s="306">
        <v>0</v>
      </c>
      <c r="J10" s="327">
        <v>0</v>
      </c>
      <c r="K10" s="73"/>
      <c r="L10" s="73"/>
      <c r="M10" s="74"/>
      <c r="N10" s="75" t="str">
        <f t="shared" si="0"/>
        <v/>
      </c>
      <c r="O10" s="45" t="str">
        <f>IF(OR(AND(SUM(Table_9_UK!H10)&lt;&gt;0,ISBLANK(Table_9_UK!K10))),"Fail", "Pass")</f>
        <v>Pass</v>
      </c>
      <c r="P10" s="45" t="str">
        <f t="shared" si="1"/>
        <v xml:space="preserve">Head 1e, </v>
      </c>
      <c r="Q10" s="27" t="str">
        <f t="shared" si="2"/>
        <v/>
      </c>
      <c r="R10" s="45" t="str">
        <f t="shared" si="3"/>
        <v>Pass</v>
      </c>
      <c r="S10" s="45" t="str">
        <f t="shared" si="4"/>
        <v xml:space="preserve">Head 1e (0), </v>
      </c>
      <c r="T10" s="27" t="str">
        <f t="shared" si="5"/>
        <v/>
      </c>
      <c r="U10" s="45" t="str">
        <f>IF(OR(AND(SUM(Table_9_UK!I10)&lt;&gt;0,ISBLANK(Table_9_UK!L10))),"Fail", "Pass")</f>
        <v>Pass</v>
      </c>
      <c r="V10" s="45" t="str">
        <f t="shared" si="6"/>
        <v xml:space="preserve">Head 1e, </v>
      </c>
      <c r="W10" s="27" t="str">
        <f t="shared" si="7"/>
        <v/>
      </c>
      <c r="X10" s="45" t="str">
        <f t="shared" si="8"/>
        <v>Pass</v>
      </c>
      <c r="Y10" s="45" t="str">
        <f t="shared" si="9"/>
        <v xml:space="preserve">Head 1e (0), </v>
      </c>
      <c r="Z10" s="27" t="str">
        <f t="shared" si="10"/>
        <v/>
      </c>
      <c r="AA10" s="25"/>
    </row>
    <row r="11" spans="1:27" customFormat="1" ht="12.75" customHeight="1" thickBot="1" x14ac:dyDescent="0.4">
      <c r="A11" s="294" t="s">
        <v>623</v>
      </c>
      <c r="B11" s="80"/>
      <c r="C11" s="312" t="s">
        <v>624</v>
      </c>
      <c r="D11" s="302"/>
      <c r="E11" s="302"/>
      <c r="F11" s="302"/>
      <c r="G11" s="303"/>
      <c r="H11" s="306">
        <v>0</v>
      </c>
      <c r="I11" s="306">
        <v>0</v>
      </c>
      <c r="J11" s="327">
        <v>0</v>
      </c>
      <c r="K11" s="126"/>
      <c r="L11" s="73"/>
      <c r="M11" s="74"/>
      <c r="N11" s="75" t="str">
        <f t="shared" si="0"/>
        <v/>
      </c>
      <c r="O11" s="45" t="str">
        <f>IF(OR(AND(SUM(Table_9_UK!H11)&lt;&gt;0,ISBLANK(Table_9_UK!K11))),"Fail", "Pass")</f>
        <v>Pass</v>
      </c>
      <c r="P11" s="45" t="str">
        <f t="shared" si="1"/>
        <v xml:space="preserve">Head 1f, </v>
      </c>
      <c r="Q11" s="27" t="str">
        <f t="shared" si="2"/>
        <v/>
      </c>
      <c r="R11" s="45" t="str">
        <f t="shared" si="3"/>
        <v>Pass</v>
      </c>
      <c r="S11" s="45" t="str">
        <f t="shared" si="4"/>
        <v xml:space="preserve">Head 1f (0), </v>
      </c>
      <c r="T11" s="27" t="str">
        <f t="shared" si="5"/>
        <v/>
      </c>
      <c r="U11" s="45" t="str">
        <f>IF(OR(AND(SUM(Table_9_UK!I11)&lt;&gt;0,ISBLANK(Table_9_UK!L11))),"Fail", "Pass")</f>
        <v>Pass</v>
      </c>
      <c r="V11" s="45" t="str">
        <f t="shared" si="6"/>
        <v xml:space="preserve">Head 1f, </v>
      </c>
      <c r="W11" s="27" t="str">
        <f t="shared" si="7"/>
        <v/>
      </c>
      <c r="X11" s="45" t="str">
        <f t="shared" si="8"/>
        <v>Pass</v>
      </c>
      <c r="Y11" s="45" t="str">
        <f t="shared" si="9"/>
        <v xml:space="preserve">Head 1f (0), </v>
      </c>
      <c r="Z11" s="27" t="str">
        <f t="shared" si="10"/>
        <v/>
      </c>
      <c r="AA11" s="25"/>
    </row>
    <row r="12" spans="1:27" customFormat="1" ht="12.75" customHeight="1" x14ac:dyDescent="0.35">
      <c r="A12" s="294" t="s">
        <v>625</v>
      </c>
      <c r="B12" s="307" t="s">
        <v>626</v>
      </c>
      <c r="C12" s="308"/>
      <c r="D12" s="308"/>
      <c r="E12" s="308"/>
      <c r="F12" s="308"/>
      <c r="G12" s="309"/>
      <c r="H12" s="310"/>
      <c r="I12" s="310"/>
      <c r="J12" s="310"/>
      <c r="K12" s="77"/>
      <c r="L12" s="77"/>
      <c r="M12" s="52"/>
      <c r="N12" s="25"/>
      <c r="O12" s="25"/>
      <c r="P12" s="45"/>
      <c r="Q12" s="25"/>
      <c r="R12" s="25"/>
      <c r="S12" s="25"/>
      <c r="T12" s="25"/>
      <c r="U12" s="45"/>
      <c r="V12" s="45"/>
      <c r="W12" s="25"/>
      <c r="X12" s="45"/>
      <c r="Y12" s="25"/>
      <c r="Z12" s="25"/>
      <c r="AA12" s="25"/>
    </row>
    <row r="13" spans="1:27" customFormat="1" ht="12.75" customHeight="1" x14ac:dyDescent="0.35">
      <c r="A13" s="294"/>
      <c r="B13" s="311"/>
      <c r="C13" s="312"/>
      <c r="D13" s="312"/>
      <c r="E13" s="312"/>
      <c r="F13" s="312"/>
      <c r="G13" s="313"/>
      <c r="H13" s="314"/>
      <c r="I13" s="314"/>
      <c r="J13" s="314"/>
      <c r="K13" s="78"/>
      <c r="L13" s="78"/>
      <c r="M13" s="78"/>
      <c r="N13" s="25"/>
      <c r="O13" s="25"/>
      <c r="P13" s="45"/>
      <c r="Q13" s="25"/>
      <c r="R13" s="25"/>
      <c r="S13" s="25"/>
      <c r="T13" s="25"/>
      <c r="U13" s="45"/>
      <c r="V13" s="45"/>
      <c r="W13" s="25"/>
      <c r="X13" s="45"/>
      <c r="Y13" s="25"/>
      <c r="Z13" s="25"/>
      <c r="AA13" s="25"/>
    </row>
    <row r="14" spans="1:27" customFormat="1" ht="12.75" customHeight="1" thickBot="1" x14ac:dyDescent="0.4">
      <c r="A14" s="294">
        <v>2</v>
      </c>
      <c r="B14" s="295" t="s">
        <v>627</v>
      </c>
      <c r="C14" s="296"/>
      <c r="D14" s="296"/>
      <c r="E14" s="296"/>
      <c r="F14" s="296"/>
      <c r="G14" s="297"/>
      <c r="H14" s="315"/>
      <c r="I14" s="315"/>
      <c r="J14" s="315"/>
      <c r="K14" s="59"/>
      <c r="L14" s="59"/>
      <c r="M14" s="52"/>
      <c r="N14" s="25"/>
      <c r="O14" s="25"/>
      <c r="P14" s="45"/>
      <c r="Q14" s="25"/>
      <c r="R14" s="25"/>
      <c r="S14" s="25"/>
      <c r="T14" s="25"/>
      <c r="U14" s="45"/>
      <c r="V14" s="45"/>
      <c r="W14" s="25"/>
      <c r="X14" s="45"/>
      <c r="Y14" s="25"/>
      <c r="Z14" s="25"/>
      <c r="AA14" s="25"/>
    </row>
    <row r="15" spans="1:27" customFormat="1" ht="12.75" customHeight="1" thickBot="1" x14ac:dyDescent="0.4">
      <c r="A15" s="294" t="s">
        <v>628</v>
      </c>
      <c r="B15" s="300"/>
      <c r="C15" s="312" t="s">
        <v>629</v>
      </c>
      <c r="D15" s="302"/>
      <c r="E15" s="302"/>
      <c r="F15" s="302"/>
      <c r="G15" s="303"/>
      <c r="H15" s="306">
        <v>0</v>
      </c>
      <c r="I15" s="306">
        <v>-352400</v>
      </c>
      <c r="J15" s="327">
        <v>-352400</v>
      </c>
      <c r="K15" s="73"/>
      <c r="L15" s="73" t="s">
        <v>1420</v>
      </c>
      <c r="M15" s="74"/>
      <c r="N15" s="75" t="str">
        <f>IF(I15&lt;&gt;J15,A15&amp;" ("&amp;I15&amp;", "&amp;J15&amp;")"&amp;", ","")</f>
        <v/>
      </c>
      <c r="O15" s="45" t="str">
        <f>IF(OR(AND(SUM(Table_9_UK!H15)&lt;&gt;0,ISBLANK(Table_9_UK!K15))),"Fail", "Pass")</f>
        <v>Pass</v>
      </c>
      <c r="P15" s="45" t="str">
        <f>"Head "&amp;A15&amp;", "</f>
        <v xml:space="preserve">Head 2a, </v>
      </c>
      <c r="Q15" s="27" t="str">
        <f>IF(O15 = "Fail", P15, "")</f>
        <v/>
      </c>
      <c r="R15" s="45" t="str">
        <f>IF(AND(SUM(H15)=0,NOT(ISBLANK(K15))),"Fail","Pass")</f>
        <v>Pass</v>
      </c>
      <c r="S15" s="45" t="str">
        <f>"Head "&amp;A15&amp;" ("&amp;H15&amp;"), "</f>
        <v xml:space="preserve">Head 2a (0), </v>
      </c>
      <c r="T15" s="27" t="str">
        <f>IF(R15 = "Fail", S15, "")</f>
        <v/>
      </c>
      <c r="U15" s="45" t="str">
        <f>IF(OR(AND(SUM(Table_9_UK!I15)&lt;&gt;0,ISBLANK(Table_9_UK!L15))),"Fail", "Pass")</f>
        <v>Pass</v>
      </c>
      <c r="V15" s="45" t="str">
        <f>"Head "&amp;A15&amp;", "</f>
        <v xml:space="preserve">Head 2a, </v>
      </c>
      <c r="W15" s="27" t="str">
        <f>IF(U15 = "Fail", V15, "")</f>
        <v/>
      </c>
      <c r="X15" s="45" t="str">
        <f>IF(AND(SUM(I15)=0,NOT(ISBLANK(L15))),"Fail","Pass")</f>
        <v>Pass</v>
      </c>
      <c r="Y15" s="45" t="str">
        <f>"Head "&amp;A15&amp;" ("&amp;I15&amp;"), "</f>
        <v xml:space="preserve">Head 2a (-352400), </v>
      </c>
      <c r="Z15" s="27" t="str">
        <f>IF(X15 = "Fail", Y15, "")</f>
        <v/>
      </c>
      <c r="AA15" s="25"/>
    </row>
    <row r="16" spans="1:27" customFormat="1" ht="12.75" customHeight="1" thickBot="1" x14ac:dyDescent="0.4">
      <c r="A16" s="294" t="s">
        <v>630</v>
      </c>
      <c r="B16" s="300"/>
      <c r="C16" s="312" t="s">
        <v>631</v>
      </c>
      <c r="D16" s="302"/>
      <c r="E16" s="302"/>
      <c r="F16" s="302"/>
      <c r="G16" s="303"/>
      <c r="H16" s="306">
        <v>0</v>
      </c>
      <c r="I16" s="306">
        <v>0</v>
      </c>
      <c r="J16" s="327">
        <v>0</v>
      </c>
      <c r="K16" s="73"/>
      <c r="L16" s="73"/>
      <c r="M16" s="74"/>
      <c r="N16" s="75" t="str">
        <f>IF(I16&lt;&gt;J16,A16&amp;" ("&amp;I16&amp;", "&amp;J16&amp;")"&amp;", ","")</f>
        <v/>
      </c>
      <c r="O16" s="45" t="str">
        <f>IF(OR(AND(SUM(Table_9_UK!H16)&lt;&gt;0,ISBLANK(Table_9_UK!K16))),"Fail", "Pass")</f>
        <v>Pass</v>
      </c>
      <c r="P16" s="45" t="str">
        <f>"Head "&amp;A16&amp;", "</f>
        <v xml:space="preserve">Head 2b, </v>
      </c>
      <c r="Q16" s="27" t="str">
        <f>IF(O16 = "Fail", P16, "")</f>
        <v/>
      </c>
      <c r="R16" s="45" t="str">
        <f>IF(AND(SUM(H16)=0,NOT(ISBLANK(K16))),"Fail","Pass")</f>
        <v>Pass</v>
      </c>
      <c r="S16" s="45" t="str">
        <f>"Head "&amp;A16&amp;" ("&amp;H16&amp;"), "</f>
        <v xml:space="preserve">Head 2b (0), </v>
      </c>
      <c r="T16" s="27" t="str">
        <f>IF(R16 = "Fail", S16, "")</f>
        <v/>
      </c>
      <c r="U16" s="45" t="str">
        <f>IF(OR(AND(SUM(Table_9_UK!I16)&lt;&gt;0,ISBLANK(Table_9_UK!L16))),"Fail", "Pass")</f>
        <v>Pass</v>
      </c>
      <c r="V16" s="45" t="str">
        <f>"Head "&amp;A16&amp;", "</f>
        <v xml:space="preserve">Head 2b, </v>
      </c>
      <c r="W16" s="27" t="str">
        <f>IF(U16 = "Fail", V16, "")</f>
        <v/>
      </c>
      <c r="X16" s="45" t="str">
        <f>IF(AND(SUM(I16)=0,NOT(ISBLANK(L16))),"Fail","Pass")</f>
        <v>Pass</v>
      </c>
      <c r="Y16" s="45" t="str">
        <f>"Head "&amp;A16&amp;" ("&amp;I16&amp;"), "</f>
        <v xml:space="preserve">Head 2b (0), </v>
      </c>
      <c r="Z16" s="27" t="str">
        <f>IF(X16 = "Fail", Y16, "")</f>
        <v/>
      </c>
      <c r="AA16" s="25"/>
    </row>
    <row r="17" spans="1:27" customFormat="1" ht="12.75" customHeight="1" thickBot="1" x14ac:dyDescent="0.4">
      <c r="A17" s="294" t="s">
        <v>632</v>
      </c>
      <c r="B17" s="79"/>
      <c r="C17" s="313" t="s">
        <v>633</v>
      </c>
      <c r="D17" s="302"/>
      <c r="E17" s="302"/>
      <c r="F17" s="302"/>
      <c r="G17" s="303"/>
      <c r="H17" s="306">
        <v>0</v>
      </c>
      <c r="I17" s="306">
        <v>0</v>
      </c>
      <c r="J17" s="327">
        <v>0</v>
      </c>
      <c r="K17" s="73"/>
      <c r="L17" s="73"/>
      <c r="M17" s="74"/>
      <c r="N17" s="75" t="str">
        <f>IF(I17&lt;&gt;J17,A17&amp;" ("&amp;I17&amp;", "&amp;J17&amp;")"&amp;", ","")</f>
        <v/>
      </c>
      <c r="O17" s="45" t="str">
        <f>IF(OR(AND(SUM(Table_9_UK!H17)&lt;&gt;0,ISBLANK(Table_9_UK!K17))),"Fail", "Pass")</f>
        <v>Pass</v>
      </c>
      <c r="P17" s="45" t="str">
        <f>"Head "&amp;A17&amp;", "</f>
        <v xml:space="preserve">Head 2c, </v>
      </c>
      <c r="Q17" s="27" t="str">
        <f>IF(O17 = "Fail", P17, "")</f>
        <v/>
      </c>
      <c r="R17" s="45" t="str">
        <f>IF(AND(SUM(H17)=0,NOT(ISBLANK(K17))),"Fail","Pass")</f>
        <v>Pass</v>
      </c>
      <c r="S17" s="45" t="str">
        <f>"Head "&amp;A17&amp;" ("&amp;H17&amp;"), "</f>
        <v xml:space="preserve">Head 2c (0), </v>
      </c>
      <c r="T17" s="27" t="str">
        <f>IF(R17 = "Fail", S17, "")</f>
        <v/>
      </c>
      <c r="U17" s="45" t="str">
        <f>IF(OR(AND(SUM(Table_9_UK!I17)&lt;&gt;0,ISBLANK(Table_9_UK!L17))),"Fail", "Pass")</f>
        <v>Pass</v>
      </c>
      <c r="V17" s="45" t="str">
        <f>"Head "&amp;A17&amp;", "</f>
        <v xml:space="preserve">Head 2c, </v>
      </c>
      <c r="W17" s="27" t="str">
        <f>IF(U17 = "Fail", V17, "")</f>
        <v/>
      </c>
      <c r="X17" s="45" t="str">
        <f>IF(AND(SUM(I17)=0,NOT(ISBLANK(L17))),"Fail","Pass")</f>
        <v>Pass</v>
      </c>
      <c r="Y17" s="45" t="str">
        <f>"Head "&amp;A17&amp;" ("&amp;I17&amp;"), "</f>
        <v xml:space="preserve">Head 2c (0), </v>
      </c>
      <c r="Z17" s="27" t="str">
        <f>IF(X17 = "Fail", Y17, "")</f>
        <v/>
      </c>
      <c r="AA17" s="25"/>
    </row>
    <row r="18" spans="1:27" customFormat="1" ht="12.75" customHeight="1" thickBot="1" x14ac:dyDescent="0.4">
      <c r="A18" s="294" t="s">
        <v>634</v>
      </c>
      <c r="B18" s="300"/>
      <c r="C18" s="313" t="s">
        <v>635</v>
      </c>
      <c r="D18" s="302"/>
      <c r="E18" s="302"/>
      <c r="F18" s="302"/>
      <c r="G18" s="303"/>
      <c r="H18" s="306">
        <v>0</v>
      </c>
      <c r="I18" s="306">
        <v>0</v>
      </c>
      <c r="J18" s="327">
        <v>0</v>
      </c>
      <c r="K18" s="73"/>
      <c r="L18" s="73"/>
      <c r="M18" s="74"/>
      <c r="N18" s="75" t="str">
        <f>IF(I18&lt;&gt;J18,A18&amp;" ("&amp;I18&amp;", "&amp;J18&amp;")"&amp;", ","")</f>
        <v/>
      </c>
      <c r="O18" s="45" t="str">
        <f>IF(OR(AND(SUM(Table_9_UK!H18)&lt;&gt;0,ISBLANK(Table_9_UK!K18))),"Fail", "Pass")</f>
        <v>Pass</v>
      </c>
      <c r="P18" s="45" t="str">
        <f>"Head "&amp;A18&amp;", "</f>
        <v xml:space="preserve">Head 2d, </v>
      </c>
      <c r="Q18" s="27" t="str">
        <f>IF(O18 = "Fail", P18, "")</f>
        <v/>
      </c>
      <c r="R18" s="45" t="str">
        <f>IF(AND(SUM(H18)=0,NOT(ISBLANK(K18))),"Fail","Pass")</f>
        <v>Pass</v>
      </c>
      <c r="S18" s="45" t="str">
        <f>"Head "&amp;A18&amp;" ("&amp;H18&amp;"), "</f>
        <v xml:space="preserve">Head 2d (0), </v>
      </c>
      <c r="T18" s="27" t="str">
        <f>IF(R18 = "Fail", S18, "")</f>
        <v/>
      </c>
      <c r="U18" s="45" t="str">
        <f>IF(OR(AND(SUM(Table_9_UK!I18)&lt;&gt;0,ISBLANK(Table_9_UK!L18))),"Fail", "Pass")</f>
        <v>Pass</v>
      </c>
      <c r="V18" s="45" t="str">
        <f>"Head "&amp;A18&amp;", "</f>
        <v xml:space="preserve">Head 2d, </v>
      </c>
      <c r="W18" s="27" t="str">
        <f>IF(U18 = "Fail", V18, "")</f>
        <v/>
      </c>
      <c r="X18" s="45" t="str">
        <f>IF(AND(SUM(I18)=0,NOT(ISBLANK(L18))),"Fail","Pass")</f>
        <v>Pass</v>
      </c>
      <c r="Y18" s="45" t="str">
        <f>"Head "&amp;A18&amp;" ("&amp;I18&amp;"), "</f>
        <v xml:space="preserve">Head 2d (0), </v>
      </c>
      <c r="Z18" s="27" t="str">
        <f>IF(X18 = "Fail", Y18, "")</f>
        <v/>
      </c>
      <c r="AA18" s="25"/>
    </row>
    <row r="19" spans="1:27" customFormat="1" ht="12.75" customHeight="1" thickBot="1" x14ac:dyDescent="0.4">
      <c r="A19" s="294" t="s">
        <v>636</v>
      </c>
      <c r="B19" s="79"/>
      <c r="C19" s="313" t="s">
        <v>637</v>
      </c>
      <c r="D19" s="302"/>
      <c r="E19" s="302"/>
      <c r="F19" s="302"/>
      <c r="G19" s="303"/>
      <c r="H19" s="306">
        <v>0</v>
      </c>
      <c r="I19" s="306">
        <v>0</v>
      </c>
      <c r="J19" s="327">
        <v>0</v>
      </c>
      <c r="K19" s="73"/>
      <c r="L19" s="73"/>
      <c r="M19" s="74"/>
      <c r="N19" s="75" t="str">
        <f>IF(I19&lt;&gt;J19,A19&amp;" ("&amp;I19&amp;", "&amp;J19&amp;")"&amp;", ","")</f>
        <v/>
      </c>
      <c r="O19" s="45" t="str">
        <f>IF(OR(AND(SUM(Table_9_UK!H19)&lt;&gt;0,ISBLANK(Table_9_UK!K19))),"Fail", "Pass")</f>
        <v>Pass</v>
      </c>
      <c r="P19" s="45" t="str">
        <f>"Head "&amp;A19&amp;", "</f>
        <v xml:space="preserve">Head 2e, </v>
      </c>
      <c r="Q19" s="27" t="str">
        <f>IF(O19 = "Fail", P19, "")</f>
        <v/>
      </c>
      <c r="R19" s="45" t="str">
        <f>IF(AND(SUM(H19)=0,NOT(ISBLANK(K19))),"Fail","Pass")</f>
        <v>Pass</v>
      </c>
      <c r="S19" s="45" t="str">
        <f>"Head "&amp;A19&amp;" ("&amp;H19&amp;"), "</f>
        <v xml:space="preserve">Head 2e (0), </v>
      </c>
      <c r="T19" s="27" t="str">
        <f>IF(R19 = "Fail", S19, "")</f>
        <v/>
      </c>
      <c r="U19" s="45" t="str">
        <f>IF(OR(AND(SUM(Table_9_UK!I19)&lt;&gt;0,ISBLANK(Table_9_UK!L19))),"Fail", "Pass")</f>
        <v>Pass</v>
      </c>
      <c r="V19" s="45" t="str">
        <f>"Head "&amp;A19&amp;", "</f>
        <v xml:space="preserve">Head 2e, </v>
      </c>
      <c r="W19" s="27" t="str">
        <f>IF(U19 = "Fail", V19, "")</f>
        <v/>
      </c>
      <c r="X19" s="45" t="str">
        <f>IF(AND(SUM(I19)=0,NOT(ISBLANK(L19))),"Fail","Pass")</f>
        <v>Pass</v>
      </c>
      <c r="Y19" s="45" t="str">
        <f>"Head "&amp;A19&amp;" ("&amp;I19&amp;"), "</f>
        <v xml:space="preserve">Head 2e (0), </v>
      </c>
      <c r="Z19" s="27" t="str">
        <f>IF(X19 = "Fail", Y19, "")</f>
        <v/>
      </c>
      <c r="AA19" s="25"/>
    </row>
    <row r="20" spans="1:27" customFormat="1" ht="12.75" customHeight="1" x14ac:dyDescent="0.35">
      <c r="A20" s="294" t="s">
        <v>638</v>
      </c>
      <c r="B20" s="307" t="s">
        <v>639</v>
      </c>
      <c r="C20" s="308"/>
      <c r="D20" s="308"/>
      <c r="E20" s="308"/>
      <c r="F20" s="308"/>
      <c r="G20" s="309"/>
      <c r="H20" s="310"/>
      <c r="I20" s="310"/>
      <c r="J20" s="310"/>
      <c r="K20" s="77"/>
      <c r="L20" s="77"/>
      <c r="M20" s="52"/>
      <c r="N20" s="25"/>
      <c r="O20" s="25"/>
      <c r="P20" s="45"/>
      <c r="Q20" s="25"/>
      <c r="R20" s="25"/>
      <c r="S20" s="25"/>
      <c r="T20" s="25"/>
      <c r="U20" s="45"/>
      <c r="V20" s="45"/>
      <c r="W20" s="25"/>
      <c r="X20" s="45"/>
      <c r="Y20" s="25"/>
      <c r="Z20" s="25"/>
      <c r="AA20" s="25"/>
    </row>
    <row r="21" spans="1:27" customFormat="1" ht="12.75" customHeight="1" x14ac:dyDescent="0.35">
      <c r="A21" s="294"/>
      <c r="B21" s="80"/>
      <c r="C21" s="302"/>
      <c r="D21" s="302"/>
      <c r="E21" s="302"/>
      <c r="F21" s="302"/>
      <c r="G21" s="303"/>
      <c r="H21" s="81"/>
      <c r="I21" s="81"/>
      <c r="J21" s="81"/>
      <c r="K21" s="78"/>
      <c r="L21" s="78"/>
      <c r="M21" s="78"/>
      <c r="N21" s="25"/>
      <c r="O21" s="25"/>
      <c r="P21" s="45"/>
      <c r="Q21" s="25"/>
      <c r="R21" s="25"/>
      <c r="S21" s="25"/>
      <c r="T21" s="25"/>
      <c r="U21" s="45"/>
      <c r="V21" s="45"/>
      <c r="W21" s="25"/>
      <c r="X21" s="45"/>
      <c r="Y21" s="25"/>
      <c r="Z21" s="25"/>
      <c r="AA21" s="25"/>
    </row>
    <row r="22" spans="1:27" customFormat="1" ht="25.5" customHeight="1" x14ac:dyDescent="0.35">
      <c r="A22" s="294">
        <v>3</v>
      </c>
      <c r="B22" s="712" t="s">
        <v>640</v>
      </c>
      <c r="C22" s="713"/>
      <c r="D22" s="713"/>
      <c r="E22" s="713"/>
      <c r="F22" s="713"/>
      <c r="G22" s="714"/>
      <c r="H22" s="310"/>
      <c r="I22" s="310"/>
      <c r="J22" s="310"/>
      <c r="K22" s="78"/>
      <c r="L22" s="78"/>
      <c r="M22" s="78"/>
      <c r="N22" s="25"/>
      <c r="O22" s="25"/>
      <c r="P22" s="45"/>
      <c r="Q22" s="25"/>
      <c r="R22" s="25"/>
      <c r="S22" s="25"/>
      <c r="T22" s="25"/>
      <c r="U22" s="45"/>
      <c r="V22" s="45"/>
      <c r="W22" s="25"/>
      <c r="X22" s="45"/>
      <c r="Y22" s="25"/>
      <c r="Z22" s="25"/>
      <c r="AA22" s="25"/>
    </row>
    <row r="23" spans="1:27" customFormat="1" ht="12.75" customHeight="1" thickBot="1" x14ac:dyDescent="0.4">
      <c r="A23" s="294"/>
      <c r="B23" s="311"/>
      <c r="C23" s="312"/>
      <c r="D23" s="312"/>
      <c r="E23" s="312"/>
      <c r="F23" s="312"/>
      <c r="G23" s="313"/>
      <c r="H23" s="314"/>
      <c r="I23" s="314"/>
      <c r="J23" s="314"/>
      <c r="K23" s="59"/>
      <c r="L23" s="59"/>
      <c r="M23" s="52"/>
      <c r="N23" s="25"/>
      <c r="O23" s="25"/>
      <c r="P23" s="45"/>
      <c r="Q23" s="25"/>
      <c r="R23" s="25"/>
      <c r="S23" s="25"/>
      <c r="T23" s="25"/>
      <c r="U23" s="45"/>
      <c r="V23" s="45"/>
      <c r="W23" s="25"/>
      <c r="X23" s="45"/>
      <c r="Y23" s="25"/>
      <c r="Z23" s="25"/>
      <c r="AA23" s="25"/>
    </row>
    <row r="24" spans="1:27" customFormat="1" ht="12.75" customHeight="1" thickBot="1" x14ac:dyDescent="0.4">
      <c r="A24" s="294">
        <v>4</v>
      </c>
      <c r="B24" s="319" t="s">
        <v>641</v>
      </c>
      <c r="C24" s="320"/>
      <c r="D24" s="320"/>
      <c r="E24" s="320"/>
      <c r="F24" s="320"/>
      <c r="G24" s="321"/>
      <c r="H24" s="306">
        <v>0</v>
      </c>
      <c r="I24" s="306">
        <v>0</v>
      </c>
      <c r="J24" s="327">
        <v>0</v>
      </c>
      <c r="K24" s="73"/>
      <c r="L24" s="73"/>
      <c r="M24" s="74"/>
      <c r="N24" s="75" t="str">
        <f>IF(I24&lt;&gt;J24,A24&amp;" ("&amp;I24&amp;", "&amp;J24&amp;")"&amp;", ","")</f>
        <v/>
      </c>
      <c r="O24" s="45" t="str">
        <f>IF(OR(AND(SUM(Table_9_UK!H24)&lt;&gt;0,ISBLANK(Table_9_UK!K24))),"Fail", "Pass")</f>
        <v>Pass</v>
      </c>
      <c r="P24" s="45" t="str">
        <f>"Head "&amp;A24&amp;", "</f>
        <v xml:space="preserve">Head 4, </v>
      </c>
      <c r="Q24" s="27" t="str">
        <f>IF(O24 = "Fail", P24, "")</f>
        <v/>
      </c>
      <c r="R24" s="45" t="str">
        <f>IF(AND(SUM(H24)=0,NOT(ISBLANK(K24))),"Fail","Pass")</f>
        <v>Pass</v>
      </c>
      <c r="S24" s="45" t="str">
        <f>"Head "&amp;A24&amp;" ("&amp;H24&amp;"), "</f>
        <v xml:space="preserve">Head 4 (0), </v>
      </c>
      <c r="T24" s="27" t="str">
        <f>IF(R24 = "Fail", S24, "")</f>
        <v/>
      </c>
      <c r="U24" s="45" t="str">
        <f>IF(OR(AND(SUM(Table_9_UK!I24)&lt;&gt;0,ISBLANK(Table_9_UK!L24))),"Fail", "Pass")</f>
        <v>Pass</v>
      </c>
      <c r="V24" s="45" t="str">
        <f>"Head "&amp;A24&amp;", "</f>
        <v xml:space="preserve">Head 4, </v>
      </c>
      <c r="W24" s="27" t="str">
        <f>IF(U24 = "Fail", V24, "")</f>
        <v/>
      </c>
      <c r="X24" s="45" t="str">
        <f>IF(AND(SUM(I24)=0,NOT(ISBLANK(L24))),"Fail","Pass")</f>
        <v>Pass</v>
      </c>
      <c r="Y24" s="45" t="str">
        <f>"Head "&amp;A24&amp;" ("&amp;I24&amp;"), "</f>
        <v xml:space="preserve">Head 4 (0), </v>
      </c>
      <c r="Z24" s="27" t="str">
        <f>IF(X24 = "Fail", Y24, "")</f>
        <v/>
      </c>
      <c r="AA24" s="25"/>
    </row>
    <row r="25" spans="1:27" customFormat="1" ht="12.75" customHeight="1" thickBot="1" x14ac:dyDescent="0.4">
      <c r="A25" s="294">
        <v>5</v>
      </c>
      <c r="B25" s="319" t="s">
        <v>642</v>
      </c>
      <c r="C25" s="320"/>
      <c r="D25" s="320"/>
      <c r="E25" s="320"/>
      <c r="F25" s="320"/>
      <c r="G25" s="321"/>
      <c r="H25" s="306">
        <v>0</v>
      </c>
      <c r="I25" s="306">
        <v>0</v>
      </c>
      <c r="J25" s="366">
        <v>0</v>
      </c>
      <c r="K25" s="73"/>
      <c r="L25" s="73"/>
      <c r="M25" s="74"/>
      <c r="N25" s="25"/>
      <c r="O25" s="91"/>
      <c r="P25" s="25"/>
      <c r="Q25" s="25"/>
      <c r="R25" s="25"/>
      <c r="S25" s="25"/>
      <c r="T25" s="25"/>
      <c r="U25" s="25"/>
      <c r="V25" s="25"/>
      <c r="W25" s="25"/>
      <c r="X25" s="25"/>
      <c r="Y25" s="25"/>
      <c r="Z25" s="25"/>
      <c r="AA25" s="25"/>
    </row>
    <row r="26" spans="1:27" customFormat="1" ht="12.75" customHeight="1" thickBot="1" x14ac:dyDescent="0.4">
      <c r="A26" s="294">
        <v>6</v>
      </c>
      <c r="B26" s="319" t="s">
        <v>643</v>
      </c>
      <c r="C26" s="320"/>
      <c r="D26" s="320"/>
      <c r="E26" s="320"/>
      <c r="F26" s="320"/>
      <c r="G26" s="321"/>
      <c r="H26" s="306">
        <v>0</v>
      </c>
      <c r="I26" s="306">
        <v>0</v>
      </c>
      <c r="J26" s="327">
        <v>0</v>
      </c>
      <c r="K26" s="73"/>
      <c r="L26" s="73"/>
      <c r="M26" s="74"/>
      <c r="N26" s="75" t="str">
        <f>IF(I26&lt;&gt;J26,A26&amp;" ("&amp;I26&amp;", "&amp;J26&amp;")"&amp;", ","")</f>
        <v/>
      </c>
      <c r="O26" s="45" t="str">
        <f>IF(OR(AND(SUM(Table_9_UK!H26)&lt;&gt;0,ISBLANK(Table_9_UK!K26))),"Fail", "Pass")</f>
        <v>Pass</v>
      </c>
      <c r="P26" s="45" t="str">
        <f>"Head "&amp;A26&amp;", "</f>
        <v xml:space="preserve">Head 6, </v>
      </c>
      <c r="Q26" s="27" t="str">
        <f>IF(O26 = "Fail", P26, "")</f>
        <v/>
      </c>
      <c r="R26" s="45" t="str">
        <f>IF(AND(SUM(H26)=0,NOT(ISBLANK(K26))),"Fail","Pass")</f>
        <v>Pass</v>
      </c>
      <c r="S26" s="45" t="str">
        <f>"Head "&amp;A26&amp;" ("&amp;H26&amp;"), "</f>
        <v xml:space="preserve">Head 6 (0), </v>
      </c>
      <c r="T26" s="27" t="str">
        <f>IF(R26 = "Fail", S26, "")</f>
        <v/>
      </c>
      <c r="U26" s="45" t="str">
        <f>IF(OR(AND(SUM(Table_9_UK!I26)&lt;&gt;0,ISBLANK(Table_9_UK!L26))),"Fail", "Pass")</f>
        <v>Pass</v>
      </c>
      <c r="V26" s="45" t="str">
        <f>"Head "&amp;A26&amp;", "</f>
        <v xml:space="preserve">Head 6, </v>
      </c>
      <c r="W26" s="27" t="str">
        <f>IF(U26 = "Fail", V26, "")</f>
        <v/>
      </c>
      <c r="X26" s="45" t="str">
        <f>IF(AND(SUM(I26)=0,NOT(ISBLANK(L26))),"Fail","Pass")</f>
        <v>Pass</v>
      </c>
      <c r="Y26" s="45" t="str">
        <f>"Head "&amp;A26&amp;" ("&amp;I26&amp;"), "</f>
        <v xml:space="preserve">Head 6 (0), </v>
      </c>
      <c r="Z26" s="27" t="str">
        <f>IF(X26 = "Fail", Y26, "")</f>
        <v/>
      </c>
      <c r="AA26" s="25"/>
    </row>
    <row r="27" spans="1:27" customFormat="1" ht="12.75" customHeight="1" thickBot="1" x14ac:dyDescent="0.4">
      <c r="A27" s="294">
        <v>7</v>
      </c>
      <c r="B27" s="311" t="s">
        <v>644</v>
      </c>
      <c r="C27" s="312"/>
      <c r="D27" s="312"/>
      <c r="E27" s="312"/>
      <c r="F27" s="312"/>
      <c r="G27" s="313"/>
      <c r="H27" s="306">
        <v>0</v>
      </c>
      <c r="I27" s="306">
        <v>0</v>
      </c>
      <c r="J27" s="327">
        <v>0</v>
      </c>
      <c r="K27" s="73"/>
      <c r="L27" s="73"/>
      <c r="M27" s="74"/>
      <c r="N27" s="75" t="str">
        <f>IF(I27&lt;&gt;J27,A27&amp;" ("&amp;I27&amp;", "&amp;J27&amp;")"&amp;", ","")</f>
        <v/>
      </c>
      <c r="O27" s="45" t="str">
        <f>IF(OR(AND(SUM(Table_9_UK!H27)&lt;&gt;0,ISBLANK(Table_9_UK!K27))),"Fail", "Pass")</f>
        <v>Pass</v>
      </c>
      <c r="P27" s="45" t="str">
        <f>"Head "&amp;A27&amp;", "</f>
        <v xml:space="preserve">Head 7, </v>
      </c>
      <c r="Q27" s="27" t="str">
        <f>IF(O27 = "Fail", P27, "")</f>
        <v/>
      </c>
      <c r="R27" s="45" t="str">
        <f>IF(AND(SUM(H27)=0,NOT(ISBLANK(K27))),"Fail","Pass")</f>
        <v>Pass</v>
      </c>
      <c r="S27" s="45" t="str">
        <f>"Head "&amp;A27&amp;" ("&amp;H27&amp;"), "</f>
        <v xml:space="preserve">Head 7 (0), </v>
      </c>
      <c r="T27" s="27" t="str">
        <f>IF(R27 = "Fail", S27, "")</f>
        <v/>
      </c>
      <c r="U27" s="45" t="str">
        <f>IF(OR(AND(SUM(Table_9_UK!I27)&lt;&gt;0,ISBLANK(Table_9_UK!L27))),"Fail", "Pass")</f>
        <v>Pass</v>
      </c>
      <c r="V27" s="45" t="str">
        <f>"Head "&amp;A27&amp;", "</f>
        <v xml:space="preserve">Head 7, </v>
      </c>
      <c r="W27" s="27" t="str">
        <f>IF(U27 = "Fail", V27, "")</f>
        <v/>
      </c>
      <c r="X27" s="45" t="str">
        <f>IF(AND(SUM(I27)=0,NOT(ISBLANK(L27))),"Fail","Pass")</f>
        <v>Pass</v>
      </c>
      <c r="Y27" s="45" t="str">
        <f>"Head "&amp;A27&amp;" ("&amp;I27&amp;"), "</f>
        <v xml:space="preserve">Head 7 (0), </v>
      </c>
      <c r="Z27" s="27" t="str">
        <f>IF(X27 = "Fail", Y27, "")</f>
        <v/>
      </c>
      <c r="AA27" s="25"/>
    </row>
    <row r="28" spans="1:27" customFormat="1" ht="12.75" customHeight="1" thickBot="1" x14ac:dyDescent="0.4">
      <c r="A28" s="294">
        <v>8</v>
      </c>
      <c r="B28" s="311" t="s">
        <v>645</v>
      </c>
      <c r="C28" s="312"/>
      <c r="D28" s="312"/>
      <c r="E28" s="312"/>
      <c r="F28" s="312"/>
      <c r="G28" s="313"/>
      <c r="H28" s="306">
        <v>0</v>
      </c>
      <c r="I28" s="306">
        <v>0</v>
      </c>
      <c r="J28" s="327">
        <v>0</v>
      </c>
      <c r="K28" s="73"/>
      <c r="L28" s="73"/>
      <c r="M28" s="74"/>
      <c r="N28" s="75" t="str">
        <f>IF(I28&lt;&gt;J28,A28&amp;" ("&amp;I28&amp;", "&amp;J28&amp;")"&amp;", ","")</f>
        <v/>
      </c>
      <c r="O28" s="45" t="str">
        <f>IF(OR(AND(SUM(Table_9_UK!H28)&lt;&gt;0,ISBLANK(Table_9_UK!K28))),"Fail", "Pass")</f>
        <v>Pass</v>
      </c>
      <c r="P28" s="45" t="str">
        <f>"Head "&amp;A28&amp;", "</f>
        <v xml:space="preserve">Head 8, </v>
      </c>
      <c r="Q28" s="27" t="str">
        <f>IF(O28 = "Fail", P28, "")</f>
        <v/>
      </c>
      <c r="R28" s="45" t="str">
        <f>IF(AND(SUM(H28)=0,NOT(ISBLANK(K28))),"Fail","Pass")</f>
        <v>Pass</v>
      </c>
      <c r="S28" s="45" t="str">
        <f>"Head "&amp;A28&amp;" ("&amp;H28&amp;"), "</f>
        <v xml:space="preserve">Head 8 (0), </v>
      </c>
      <c r="T28" s="27" t="str">
        <f>IF(R28 = "Fail", S28, "")</f>
        <v/>
      </c>
      <c r="U28" s="45" t="str">
        <f>IF(OR(AND(SUM(Table_9_UK!I28)&lt;&gt;0,ISBLANK(Table_9_UK!L28))),"Fail", "Pass")</f>
        <v>Pass</v>
      </c>
      <c r="V28" s="45" t="str">
        <f>"Head "&amp;A28&amp;", "</f>
        <v xml:space="preserve">Head 8, </v>
      </c>
      <c r="W28" s="27" t="str">
        <f>IF(U28 = "Fail", V28, "")</f>
        <v/>
      </c>
      <c r="X28" s="45" t="str">
        <f>IF(AND(SUM(I28)=0,NOT(ISBLANK(L28))),"Fail","Pass")</f>
        <v>Pass</v>
      </c>
      <c r="Y28" s="45" t="str">
        <f>"Head "&amp;A28&amp;" ("&amp;I28&amp;"), "</f>
        <v xml:space="preserve">Head 8 (0), </v>
      </c>
      <c r="Z28" s="27" t="str">
        <f>IF(X28 = "Fail", Y28, "")</f>
        <v/>
      </c>
      <c r="AA28" s="25"/>
    </row>
    <row r="29" spans="1:27" customFormat="1" ht="12.75" customHeight="1" x14ac:dyDescent="0.35">
      <c r="A29" s="412"/>
      <c r="B29" s="311"/>
      <c r="C29" s="312"/>
      <c r="D29" s="312"/>
      <c r="E29" s="312"/>
      <c r="F29" s="312"/>
      <c r="G29" s="313"/>
      <c r="H29" s="314"/>
      <c r="I29" s="314"/>
      <c r="J29" s="314"/>
      <c r="K29" s="77"/>
      <c r="L29" s="77"/>
      <c r="M29" s="52"/>
      <c r="N29" s="25"/>
      <c r="O29" s="25"/>
      <c r="P29" s="45"/>
      <c r="Q29" s="25"/>
      <c r="R29" s="25"/>
      <c r="S29" s="25"/>
      <c r="T29" s="25"/>
      <c r="U29" s="45"/>
      <c r="V29" s="45"/>
      <c r="W29" s="25"/>
      <c r="X29" s="45"/>
      <c r="Y29" s="25"/>
      <c r="Z29" s="25"/>
      <c r="AA29" s="25"/>
    </row>
    <row r="30" spans="1:27" customFormat="1" ht="12.75" customHeight="1" x14ac:dyDescent="0.35">
      <c r="A30" s="294">
        <v>9</v>
      </c>
      <c r="B30" s="307" t="s">
        <v>646</v>
      </c>
      <c r="C30" s="308"/>
      <c r="D30" s="308"/>
      <c r="E30" s="308"/>
      <c r="F30" s="308"/>
      <c r="G30" s="309"/>
      <c r="H30" s="310"/>
      <c r="I30" s="310"/>
      <c r="J30" s="310"/>
      <c r="K30" s="78"/>
      <c r="L30" s="78"/>
      <c r="M30" s="78"/>
      <c r="N30" s="25"/>
      <c r="O30" s="25"/>
      <c r="P30" s="45"/>
      <c r="Q30" s="25"/>
      <c r="R30" s="25"/>
      <c r="S30" s="25"/>
      <c r="T30" s="25"/>
      <c r="U30" s="45"/>
      <c r="V30" s="45"/>
      <c r="W30" s="25"/>
      <c r="X30" s="45"/>
      <c r="Y30" s="25"/>
      <c r="Z30" s="25"/>
      <c r="AA30" s="25"/>
    </row>
    <row r="31" spans="1:27" customFormat="1" ht="12.75" customHeight="1" thickBot="1" x14ac:dyDescent="0.4">
      <c r="A31" s="294"/>
      <c r="B31" s="324"/>
      <c r="C31" s="325"/>
      <c r="D31" s="325"/>
      <c r="E31" s="325"/>
      <c r="F31" s="325"/>
      <c r="G31" s="326"/>
      <c r="H31" s="314"/>
      <c r="I31" s="314"/>
      <c r="J31" s="314"/>
      <c r="K31" s="78"/>
      <c r="L31" s="78"/>
      <c r="M31" s="78"/>
      <c r="N31" s="25"/>
      <c r="O31" s="25"/>
      <c r="P31" s="45"/>
      <c r="Q31" s="25"/>
      <c r="R31" s="25"/>
      <c r="S31" s="25"/>
      <c r="T31" s="25"/>
      <c r="U31" s="45"/>
      <c r="V31" s="45"/>
      <c r="W31" s="25"/>
      <c r="X31" s="45"/>
      <c r="Y31" s="25"/>
      <c r="Z31" s="25"/>
      <c r="AA31" s="25"/>
    </row>
    <row r="32" spans="1:27" customFormat="1" ht="12.75" customHeight="1" thickBot="1" x14ac:dyDescent="0.4">
      <c r="A32" s="294">
        <v>10</v>
      </c>
      <c r="B32" s="311" t="s">
        <v>647</v>
      </c>
      <c r="C32" s="312"/>
      <c r="D32" s="312"/>
      <c r="E32" s="312"/>
      <c r="F32" s="312"/>
      <c r="G32" s="313"/>
      <c r="H32" s="306">
        <v>0</v>
      </c>
      <c r="I32" s="306">
        <v>0</v>
      </c>
      <c r="J32" s="327">
        <v>0</v>
      </c>
      <c r="K32" s="73"/>
      <c r="L32" s="73"/>
      <c r="M32" s="74"/>
      <c r="N32" s="75" t="str">
        <f>IF(I32&lt;&gt;J32,A32&amp;" ("&amp;I32&amp;", "&amp;J32&amp;")"&amp;", ","")</f>
        <v/>
      </c>
      <c r="O32" s="45" t="str">
        <f>IF(OR(AND(SUM(Table_9_UK!H32)&lt;&gt;0,ISBLANK(Table_9_UK!K32))),"Fail", "Pass")</f>
        <v>Pass</v>
      </c>
      <c r="P32" s="45" t="str">
        <f>"Head "&amp;A32&amp;", "</f>
        <v xml:space="preserve">Head 10, </v>
      </c>
      <c r="Q32" s="27" t="str">
        <f>IF(O32 = "Fail", P32, "")</f>
        <v/>
      </c>
      <c r="R32" s="45" t="str">
        <f>IF(AND(SUM(H32)=0,NOT(ISBLANK(K32))),"Fail","Pass")</f>
        <v>Pass</v>
      </c>
      <c r="S32" s="45" t="str">
        <f>"Head "&amp;A32&amp;" ("&amp;H32&amp;"), "</f>
        <v xml:space="preserve">Head 10 (0), </v>
      </c>
      <c r="T32" s="27" t="str">
        <f>IF(R32 = "Fail", S32, "")</f>
        <v/>
      </c>
      <c r="U32" s="45" t="str">
        <f>IF(OR(AND(SUM(Table_9_UK!I32)&lt;&gt;0,ISBLANK(Table_9_UK!L32))),"Fail", "Pass")</f>
        <v>Pass</v>
      </c>
      <c r="V32" s="45" t="str">
        <f>"Head "&amp;A32&amp;", "</f>
        <v xml:space="preserve">Head 10, </v>
      </c>
      <c r="W32" s="27" t="str">
        <f>IF(U32 = "Fail", V32, "")</f>
        <v/>
      </c>
      <c r="X32" s="45" t="str">
        <f>IF(AND(SUM(I32)=0,NOT(ISBLANK(L32))),"Fail","Pass")</f>
        <v>Pass</v>
      </c>
      <c r="Y32" s="45" t="str">
        <f>"Head "&amp;A32&amp;" ("&amp;I32&amp;"), "</f>
        <v xml:space="preserve">Head 10 (0), </v>
      </c>
      <c r="Z32" s="27" t="str">
        <f>IF(X32 = "Fail", Y32, "")</f>
        <v/>
      </c>
      <c r="AA32" s="25"/>
    </row>
    <row r="33" spans="1:27" customFormat="1" ht="12.75" customHeight="1" x14ac:dyDescent="0.35">
      <c r="A33" s="294"/>
      <c r="B33" s="311"/>
      <c r="C33" s="312"/>
      <c r="D33" s="312"/>
      <c r="E33" s="312"/>
      <c r="F33" s="312"/>
      <c r="G33" s="313"/>
      <c r="H33" s="314"/>
      <c r="I33" s="314"/>
      <c r="J33" s="314"/>
      <c r="K33" s="78"/>
      <c r="L33" s="78"/>
      <c r="M33" s="78"/>
      <c r="N33" s="25"/>
      <c r="O33" s="25"/>
      <c r="P33" s="45"/>
      <c r="Q33" s="25"/>
      <c r="R33" s="25"/>
      <c r="S33" s="25"/>
      <c r="T33" s="25"/>
      <c r="U33" s="45"/>
      <c r="V33" s="45"/>
      <c r="W33" s="25"/>
      <c r="X33" s="45"/>
      <c r="Y33" s="25"/>
      <c r="Z33" s="25"/>
      <c r="AA33" s="25"/>
    </row>
    <row r="34" spans="1:27" customFormat="1" ht="12.75" customHeight="1" x14ac:dyDescent="0.35">
      <c r="A34" s="294">
        <v>11</v>
      </c>
      <c r="B34" s="307" t="s">
        <v>648</v>
      </c>
      <c r="C34" s="308"/>
      <c r="D34" s="308"/>
      <c r="E34" s="308"/>
      <c r="F34" s="308"/>
      <c r="G34" s="309"/>
      <c r="H34" s="310"/>
      <c r="I34" s="310"/>
      <c r="J34" s="310"/>
      <c r="K34" s="78"/>
      <c r="L34" s="78"/>
      <c r="M34" s="78"/>
      <c r="N34" s="25"/>
      <c r="O34" s="25"/>
      <c r="P34" s="45"/>
      <c r="Q34" s="25"/>
      <c r="R34" s="25"/>
      <c r="S34" s="25"/>
      <c r="T34" s="25"/>
      <c r="U34" s="45"/>
      <c r="V34" s="45"/>
      <c r="W34" s="25"/>
      <c r="X34" s="45"/>
      <c r="Y34" s="25"/>
      <c r="Z34" s="25"/>
      <c r="AA34" s="25"/>
    </row>
    <row r="35" spans="1:27" customFormat="1" ht="12.75" customHeight="1" thickBot="1" x14ac:dyDescent="0.4">
      <c r="A35" s="294"/>
      <c r="B35" s="311"/>
      <c r="C35" s="312"/>
      <c r="D35" s="312"/>
      <c r="E35" s="312"/>
      <c r="F35" s="312"/>
      <c r="G35" s="313"/>
      <c r="H35" s="314"/>
      <c r="I35" s="314"/>
      <c r="J35" s="314"/>
      <c r="K35" s="59"/>
      <c r="L35" s="59"/>
      <c r="M35" s="52"/>
      <c r="N35" s="25"/>
      <c r="O35" s="25"/>
      <c r="P35" s="45"/>
      <c r="Q35" s="25"/>
      <c r="R35" s="25"/>
      <c r="S35" s="25"/>
      <c r="T35" s="25"/>
      <c r="U35" s="45"/>
      <c r="V35" s="45"/>
      <c r="W35" s="25"/>
      <c r="X35" s="45"/>
      <c r="Y35" s="25"/>
      <c r="Z35" s="25"/>
      <c r="AA35" s="25"/>
    </row>
    <row r="36" spans="1:27" customFormat="1" ht="12.75" customHeight="1" thickBot="1" x14ac:dyDescent="0.4">
      <c r="A36" s="294">
        <v>12</v>
      </c>
      <c r="B36" s="311" t="s">
        <v>649</v>
      </c>
      <c r="C36" s="312"/>
      <c r="D36" s="312"/>
      <c r="E36" s="312"/>
      <c r="F36" s="312"/>
      <c r="G36" s="313"/>
      <c r="H36" s="306">
        <v>0</v>
      </c>
      <c r="I36" s="306">
        <v>0</v>
      </c>
      <c r="J36" s="327">
        <v>0</v>
      </c>
      <c r="K36" s="73"/>
      <c r="L36" s="73"/>
      <c r="M36" s="74"/>
      <c r="N36" s="75" t="str">
        <f>IF(I36&lt;&gt;J36,A36&amp;" ("&amp;I36&amp;", "&amp;J36&amp;")"&amp;", ","")</f>
        <v/>
      </c>
      <c r="O36" s="45" t="str">
        <f>IF(OR(AND(SUM(Table_9_UK!H36)&lt;&gt;0,ISBLANK(Table_9_UK!K36))),"Fail", "Pass")</f>
        <v>Pass</v>
      </c>
      <c r="P36" s="45" t="str">
        <f>"Head "&amp;A36&amp;", "</f>
        <v xml:space="preserve">Head 12, </v>
      </c>
      <c r="Q36" s="27" t="str">
        <f>IF(O36 = "Fail", P36, "")</f>
        <v/>
      </c>
      <c r="R36" s="45" t="str">
        <f>IF(AND(SUM(H36)=0,NOT(ISBLANK(K36))),"Fail","Pass")</f>
        <v>Pass</v>
      </c>
      <c r="S36" s="45" t="str">
        <f>"Head "&amp;A36&amp;" ("&amp;H36&amp;"), "</f>
        <v xml:space="preserve">Head 12 (0), </v>
      </c>
      <c r="T36" s="27" t="str">
        <f>IF(R36 = "Fail", S36, "")</f>
        <v/>
      </c>
      <c r="U36" s="45" t="str">
        <f>IF(OR(AND(SUM(Table_9_UK!I36)&lt;&gt;0,ISBLANK(Table_9_UK!L36))),"Fail", "Pass")</f>
        <v>Pass</v>
      </c>
      <c r="V36" s="45" t="str">
        <f>"Head "&amp;A36&amp;", "</f>
        <v xml:space="preserve">Head 12, </v>
      </c>
      <c r="W36" s="27" t="str">
        <f>IF(U36 = "Fail", V36, "")</f>
        <v/>
      </c>
      <c r="X36" s="45" t="str">
        <f>IF(AND(SUM(I36)=0,NOT(ISBLANK(L36))),"Fail","Pass")</f>
        <v>Pass</v>
      </c>
      <c r="Y36" s="45" t="str">
        <f>"Head "&amp;A36&amp;" ("&amp;I36&amp;"), "</f>
        <v xml:space="preserve">Head 12 (0), </v>
      </c>
      <c r="Z36" s="27" t="str">
        <f>IF(X36 = "Fail", Y36, "")</f>
        <v/>
      </c>
      <c r="AA36" s="25"/>
    </row>
    <row r="37" spans="1:27" customFormat="1" ht="15.65" customHeight="1" thickBot="1" x14ac:dyDescent="0.4">
      <c r="A37" s="294">
        <v>13</v>
      </c>
      <c r="B37" s="311" t="s">
        <v>650</v>
      </c>
      <c r="C37" s="312"/>
      <c r="D37" s="312"/>
      <c r="E37" s="312"/>
      <c r="F37" s="312"/>
      <c r="G37" s="313"/>
      <c r="H37" s="306">
        <v>0</v>
      </c>
      <c r="I37" s="306">
        <v>0</v>
      </c>
      <c r="J37" s="327">
        <v>0</v>
      </c>
      <c r="K37" s="73"/>
      <c r="L37" s="73"/>
      <c r="M37" s="74"/>
      <c r="N37" s="75" t="str">
        <f>IF(I37&lt;&gt;J37,A37&amp;" ("&amp;I37&amp;", "&amp;J37&amp;")"&amp;", ","")</f>
        <v/>
      </c>
      <c r="O37" s="45" t="str">
        <f>IF(OR(AND(SUM(Table_9_UK!H37)&lt;&gt;0,ISBLANK(Table_9_UK!K37))),"Fail", "Pass")</f>
        <v>Pass</v>
      </c>
      <c r="P37" s="45" t="str">
        <f>"Head "&amp;A37&amp;", "</f>
        <v xml:space="preserve">Head 13, </v>
      </c>
      <c r="Q37" s="27" t="str">
        <f>IF(O37 = "Fail", P37, "")</f>
        <v/>
      </c>
      <c r="R37" s="45" t="str">
        <f>IF(AND(SUM(H37)=0,NOT(ISBLANK(K37))),"Fail","Pass")</f>
        <v>Pass</v>
      </c>
      <c r="S37" s="45" t="str">
        <f>"Head "&amp;A37&amp;" ("&amp;H37&amp;"), "</f>
        <v xml:space="preserve">Head 13 (0), </v>
      </c>
      <c r="T37" s="27" t="str">
        <f>IF(R37 = "Fail", S37, "")</f>
        <v/>
      </c>
      <c r="U37" s="45" t="str">
        <f>IF(OR(AND(SUM(Table_9_UK!I37)&lt;&gt;0,ISBLANK(Table_9_UK!L37))),"Fail", "Pass")</f>
        <v>Pass</v>
      </c>
      <c r="V37" s="45" t="str">
        <f>"Head "&amp;A37&amp;", "</f>
        <v xml:space="preserve">Head 13, </v>
      </c>
      <c r="W37" s="27" t="str">
        <f>IF(U37 = "Fail", V37, "")</f>
        <v/>
      </c>
      <c r="X37" s="45" t="str">
        <f>IF(AND(SUM(I37)=0,NOT(ISBLANK(L37))),"Fail","Pass")</f>
        <v>Pass</v>
      </c>
      <c r="Y37" s="45" t="str">
        <f>"Head "&amp;A37&amp;" ("&amp;I37&amp;"), "</f>
        <v xml:space="preserve">Head 13 (0), </v>
      </c>
      <c r="Z37" s="27" t="str">
        <f>IF(X37 = "Fail", Y37, "")</f>
        <v/>
      </c>
      <c r="AA37" s="25"/>
    </row>
    <row r="38" spans="1:27" customFormat="1" ht="15.65" customHeight="1" thickBot="1" x14ac:dyDescent="0.4">
      <c r="A38" s="294">
        <v>14</v>
      </c>
      <c r="B38" s="331" t="s">
        <v>651</v>
      </c>
      <c r="C38" s="335"/>
      <c r="D38" s="312"/>
      <c r="E38" s="312"/>
      <c r="F38" s="312"/>
      <c r="G38" s="313"/>
      <c r="H38" s="306">
        <v>0</v>
      </c>
      <c r="I38" s="306">
        <v>0</v>
      </c>
      <c r="J38" s="327">
        <v>0</v>
      </c>
      <c r="K38" s="73"/>
      <c r="L38" s="73"/>
      <c r="M38" s="74"/>
      <c r="N38" s="75" t="str">
        <f>IF(I38&lt;&gt;J38,A38&amp;" ("&amp;I38&amp;", "&amp;J38&amp;")"&amp;", ","")</f>
        <v/>
      </c>
      <c r="O38" s="45" t="str">
        <f>IF(OR(AND(SUM(Table_9_UK!H38)&lt;&gt;0,ISBLANK(Table_9_UK!K38))),"Fail", "Pass")</f>
        <v>Pass</v>
      </c>
      <c r="P38" s="45" t="str">
        <f>"Head "&amp;A38&amp;", "</f>
        <v xml:space="preserve">Head 14, </v>
      </c>
      <c r="Q38" s="27" t="str">
        <f>IF(O38 = "Fail", P38, "")</f>
        <v/>
      </c>
      <c r="R38" s="45" t="str">
        <f>IF(AND(SUM(H38)=0,NOT(ISBLANK(K38))),"Fail","Pass")</f>
        <v>Pass</v>
      </c>
      <c r="S38" s="45" t="str">
        <f>"Head "&amp;A38&amp;" ("&amp;H38&amp;"), "</f>
        <v xml:space="preserve">Head 14 (0), </v>
      </c>
      <c r="T38" s="27" t="str">
        <f>IF(R38 = "Fail", S38, "")</f>
        <v/>
      </c>
      <c r="U38" s="45" t="str">
        <f>IF(OR(AND(SUM(Table_9_UK!I38)&lt;&gt;0,ISBLANK(Table_9_UK!L38))),"Fail", "Pass")</f>
        <v>Pass</v>
      </c>
      <c r="V38" s="45" t="str">
        <f>"Head "&amp;A38&amp;", "</f>
        <v xml:space="preserve">Head 14, </v>
      </c>
      <c r="W38" s="27" t="str">
        <f>IF(U38 = "Fail", V38, "")</f>
        <v/>
      </c>
      <c r="X38" s="45" t="str">
        <f>IF(AND(SUM(I38)=0,NOT(ISBLANK(L38))),"Fail","Pass")</f>
        <v>Pass</v>
      </c>
      <c r="Y38" s="45" t="str">
        <f>"Head "&amp;A38&amp;" ("&amp;I38&amp;"), "</f>
        <v xml:space="preserve">Head 14 (0), </v>
      </c>
      <c r="Z38" s="27" t="str">
        <f>IF(X38 = "Fail", Y38, "")</f>
        <v/>
      </c>
      <c r="AA38" s="25"/>
    </row>
    <row r="39" spans="1:27" customFormat="1" ht="12.75" customHeight="1" thickBot="1" x14ac:dyDescent="0.4">
      <c r="A39" s="294">
        <v>15</v>
      </c>
      <c r="B39" s="331" t="s">
        <v>1143</v>
      </c>
      <c r="C39" s="335"/>
      <c r="D39" s="312"/>
      <c r="E39" s="312"/>
      <c r="F39" s="312"/>
      <c r="G39" s="313"/>
      <c r="H39" s="306">
        <v>0</v>
      </c>
      <c r="I39" s="306">
        <v>0</v>
      </c>
      <c r="J39" s="327">
        <v>0</v>
      </c>
      <c r="K39" s="73"/>
      <c r="L39" s="73"/>
      <c r="M39" s="74"/>
      <c r="N39" s="75" t="str">
        <f>IF(I39&lt;&gt;J39,A39&amp;" ("&amp;I39&amp;", "&amp;J39&amp;")"&amp;", ","")</f>
        <v/>
      </c>
      <c r="O39" s="45" t="str">
        <f>IF(OR(AND(SUM(Table_9_UK!H39)&lt;&gt;0,ISBLANK(Table_9_UK!K39))),"Fail", "Pass")</f>
        <v>Pass</v>
      </c>
      <c r="P39" s="45" t="str">
        <f>"Head "&amp;A39&amp;", "</f>
        <v xml:space="preserve">Head 15, </v>
      </c>
      <c r="Q39" s="27" t="str">
        <f>IF(O39 = "Fail", P39, "")</f>
        <v/>
      </c>
      <c r="R39" s="45" t="str">
        <f>IF(AND(SUM(H39)=0,NOT(ISBLANK(K39))),"Fail","Pass")</f>
        <v>Pass</v>
      </c>
      <c r="S39" s="45" t="str">
        <f>"Head "&amp;A39&amp;" ("&amp;H39&amp;"), "</f>
        <v xml:space="preserve">Head 15 (0), </v>
      </c>
      <c r="T39" s="27" t="str">
        <f>IF(R39 = "Fail", S39, "")</f>
        <v/>
      </c>
      <c r="U39" s="45" t="str">
        <f>IF(OR(AND(SUM(Table_9_UK!I39)&lt;&gt;0,ISBLANK(Table_9_UK!L39))),"Fail", "Pass")</f>
        <v>Pass</v>
      </c>
      <c r="V39" s="45" t="str">
        <f>"Head "&amp;A39&amp;", "</f>
        <v xml:space="preserve">Head 15, </v>
      </c>
      <c r="W39" s="27" t="str">
        <f>IF(U39 = "Fail", V39, "")</f>
        <v/>
      </c>
      <c r="X39" s="45" t="str">
        <f>IF(AND(SUM(I39)=0,NOT(ISBLANK(L39))),"Fail","Pass")</f>
        <v>Pass</v>
      </c>
      <c r="Y39" s="45" t="str">
        <f>"Head "&amp;A39&amp;" ("&amp;I39&amp;"), "</f>
        <v xml:space="preserve">Head 15 (0), </v>
      </c>
      <c r="Z39" s="27" t="str">
        <f>IF(X39 = "Fail", Y39, "")</f>
        <v/>
      </c>
      <c r="AA39" s="25"/>
    </row>
    <row r="40" spans="1:27" customFormat="1" ht="12.75" customHeight="1" x14ac:dyDescent="0.35">
      <c r="A40" s="294"/>
      <c r="B40" s="331"/>
      <c r="C40" s="335"/>
      <c r="D40" s="312"/>
      <c r="E40" s="312"/>
      <c r="F40" s="312"/>
      <c r="G40" s="313"/>
      <c r="H40" s="314"/>
      <c r="I40" s="314"/>
      <c r="J40" s="314"/>
      <c r="K40" s="77"/>
      <c r="L40" s="77"/>
      <c r="M40" s="52"/>
      <c r="N40" s="25"/>
      <c r="O40" s="25"/>
      <c r="P40" s="45"/>
      <c r="Q40" s="25"/>
      <c r="R40" s="25"/>
      <c r="S40" s="25"/>
      <c r="T40" s="25"/>
      <c r="U40" s="45"/>
      <c r="V40" s="45"/>
      <c r="W40" s="25"/>
      <c r="X40" s="45"/>
      <c r="Y40" s="25"/>
      <c r="Z40" s="25"/>
      <c r="AA40" s="25"/>
    </row>
    <row r="41" spans="1:27" customFormat="1" ht="12.75" customHeight="1" x14ac:dyDescent="0.35">
      <c r="A41" s="294">
        <v>16</v>
      </c>
      <c r="B41" s="329" t="s">
        <v>654</v>
      </c>
      <c r="C41" s="330"/>
      <c r="D41" s="308"/>
      <c r="E41" s="308"/>
      <c r="F41" s="308"/>
      <c r="G41" s="309"/>
      <c r="H41" s="310"/>
      <c r="I41" s="310"/>
      <c r="J41" s="310"/>
      <c r="K41" s="78"/>
      <c r="L41" s="78"/>
      <c r="M41" s="78"/>
      <c r="N41" s="25"/>
      <c r="O41" s="25"/>
      <c r="P41" s="45"/>
      <c r="Q41" s="25"/>
      <c r="R41" s="25"/>
      <c r="S41" s="25"/>
      <c r="T41" s="25"/>
      <c r="U41" s="45"/>
      <c r="V41" s="45"/>
      <c r="W41" s="25"/>
      <c r="X41" s="45"/>
      <c r="Y41" s="25"/>
      <c r="Z41" s="25"/>
      <c r="AA41" s="25"/>
    </row>
    <row r="42" spans="1:27" customFormat="1" ht="12.75" customHeight="1" x14ac:dyDescent="0.35">
      <c r="A42" s="294"/>
      <c r="B42" s="331"/>
      <c r="C42" s="332"/>
      <c r="D42" s="312"/>
      <c r="E42" s="312"/>
      <c r="F42" s="312"/>
      <c r="G42" s="313"/>
      <c r="H42" s="314"/>
      <c r="I42" s="314"/>
      <c r="J42" s="314"/>
      <c r="K42" s="78"/>
      <c r="L42" s="78"/>
      <c r="M42" s="78"/>
      <c r="N42" s="25"/>
      <c r="O42" s="25"/>
      <c r="P42" s="45"/>
      <c r="Q42" s="25"/>
      <c r="R42" s="25"/>
      <c r="S42" s="25"/>
      <c r="T42" s="25"/>
      <c r="U42" s="45"/>
      <c r="V42" s="45"/>
      <c r="W42" s="25"/>
      <c r="X42" s="45"/>
      <c r="Y42" s="25"/>
      <c r="Z42" s="25"/>
      <c r="AA42" s="25"/>
    </row>
    <row r="43" spans="1:27" customFormat="1" ht="12.75" customHeight="1" thickBot="1" x14ac:dyDescent="0.4">
      <c r="A43" s="294">
        <v>17</v>
      </c>
      <c r="B43" s="333" t="s">
        <v>655</v>
      </c>
      <c r="C43" s="334"/>
      <c r="D43" s="296"/>
      <c r="E43" s="296"/>
      <c r="F43" s="296"/>
      <c r="G43" s="297"/>
      <c r="H43" s="315"/>
      <c r="I43" s="315"/>
      <c r="J43" s="315"/>
      <c r="K43" s="59"/>
      <c r="L43" s="59"/>
      <c r="M43" s="52"/>
      <c r="N43" s="25"/>
      <c r="O43" s="25"/>
      <c r="P43" s="45"/>
      <c r="Q43" s="25"/>
      <c r="R43" s="25"/>
      <c r="S43" s="25"/>
      <c r="T43" s="25"/>
      <c r="U43" s="45"/>
      <c r="V43" s="45"/>
      <c r="W43" s="25"/>
      <c r="X43" s="45"/>
      <c r="Y43" s="25"/>
      <c r="Z43" s="25"/>
      <c r="AA43" s="25"/>
    </row>
    <row r="44" spans="1:27" customFormat="1" ht="12.75" customHeight="1" thickBot="1" x14ac:dyDescent="0.4">
      <c r="A44" s="294" t="s">
        <v>656</v>
      </c>
      <c r="B44" s="331"/>
      <c r="C44" s="335" t="s">
        <v>657</v>
      </c>
      <c r="D44" s="312"/>
      <c r="E44" s="312"/>
      <c r="F44" s="312"/>
      <c r="G44" s="313"/>
      <c r="H44" s="306">
        <v>0</v>
      </c>
      <c r="I44" s="306">
        <v>0</v>
      </c>
      <c r="J44" s="327">
        <v>0</v>
      </c>
      <c r="K44" s="73"/>
      <c r="L44" s="73"/>
      <c r="M44" s="74"/>
      <c r="N44" s="75" t="str">
        <f>IF(I44&lt;&gt;J44,A44&amp;" ("&amp;I44&amp;", "&amp;J44&amp;")"&amp;", ","")</f>
        <v/>
      </c>
      <c r="O44" s="45" t="str">
        <f>IF(OR(AND(SUM(Table_9_UK!H44)&lt;&gt;0,ISBLANK(Table_9_UK!K44))),"Fail", "Pass")</f>
        <v>Pass</v>
      </c>
      <c r="P44" s="45" t="str">
        <f>"Head "&amp;A44&amp;", "</f>
        <v xml:space="preserve">Head 17a, </v>
      </c>
      <c r="Q44" s="27" t="str">
        <f>IF(O44 = "Fail", P44, "")</f>
        <v/>
      </c>
      <c r="R44" s="45" t="str">
        <f>IF(AND(SUM(H44)=0,NOT(ISBLANK(K44))),"Fail","Pass")</f>
        <v>Pass</v>
      </c>
      <c r="S44" s="45" t="str">
        <f>"Head "&amp;A44&amp;" ("&amp;H44&amp;"), "</f>
        <v xml:space="preserve">Head 17a (0), </v>
      </c>
      <c r="T44" s="27" t="str">
        <f>IF(R44 = "Fail", S44, "")</f>
        <v/>
      </c>
      <c r="U44" s="45" t="str">
        <f>IF(OR(AND(SUM(Table_9_UK!I44)&lt;&gt;0,ISBLANK(Table_9_UK!L44))),"Fail", "Pass")</f>
        <v>Pass</v>
      </c>
      <c r="V44" s="45" t="str">
        <f>"Head "&amp;A44&amp;", "</f>
        <v xml:space="preserve">Head 17a, </v>
      </c>
      <c r="W44" s="27" t="str">
        <f>IF(U44 = "Fail", V44, "")</f>
        <v/>
      </c>
      <c r="X44" s="45" t="str">
        <f>IF(AND(SUM(I44)=0,NOT(ISBLANK(L44))),"Fail","Pass")</f>
        <v>Pass</v>
      </c>
      <c r="Y44" s="45" t="str">
        <f>"Head "&amp;A44&amp;" ("&amp;I44&amp;"), "</f>
        <v xml:space="preserve">Head 17a (0), </v>
      </c>
      <c r="Z44" s="27" t="str">
        <f>IF(X44 = "Fail", Y44, "")</f>
        <v/>
      </c>
      <c r="AA44" s="25"/>
    </row>
    <row r="45" spans="1:27" customFormat="1" ht="12.75" customHeight="1" thickBot="1" x14ac:dyDescent="0.4">
      <c r="A45" s="294" t="s">
        <v>658</v>
      </c>
      <c r="B45" s="331"/>
      <c r="C45" s="335" t="s">
        <v>659</v>
      </c>
      <c r="D45" s="312"/>
      <c r="E45" s="312"/>
      <c r="F45" s="312"/>
      <c r="G45" s="313"/>
      <c r="H45" s="306">
        <v>0</v>
      </c>
      <c r="I45" s="306">
        <v>0</v>
      </c>
      <c r="J45" s="327">
        <v>0</v>
      </c>
      <c r="K45" s="73"/>
      <c r="L45" s="73"/>
      <c r="M45" s="74"/>
      <c r="N45" s="75" t="str">
        <f>IF(I45&lt;&gt;J45,A45&amp;" ("&amp;I45&amp;", "&amp;J45&amp;")"&amp;", ","")</f>
        <v/>
      </c>
      <c r="O45" s="45" t="str">
        <f>IF(OR(AND(SUM(Table_9_UK!H45)&lt;&gt;0,ISBLANK(Table_9_UK!K45))),"Fail", "Pass")</f>
        <v>Pass</v>
      </c>
      <c r="P45" s="45" t="str">
        <f>"Head "&amp;A45&amp;", "</f>
        <v xml:space="preserve">Head 17b, </v>
      </c>
      <c r="Q45" s="27" t="str">
        <f>IF(O45 = "Fail", P45, "")</f>
        <v/>
      </c>
      <c r="R45" s="45" t="str">
        <f>IF(AND(SUM(H45)=0,NOT(ISBLANK(K45))),"Fail","Pass")</f>
        <v>Pass</v>
      </c>
      <c r="S45" s="45" t="str">
        <f>"Head "&amp;A45&amp;" ("&amp;H45&amp;"), "</f>
        <v xml:space="preserve">Head 17b (0), </v>
      </c>
      <c r="T45" s="27" t="str">
        <f>IF(R45 = "Fail", S45, "")</f>
        <v/>
      </c>
      <c r="U45" s="45" t="str">
        <f>IF(OR(AND(SUM(Table_9_UK!I45)&lt;&gt;0,ISBLANK(Table_9_UK!L45))),"Fail", "Pass")</f>
        <v>Pass</v>
      </c>
      <c r="V45" s="45" t="str">
        <f>"Head "&amp;A45&amp;", "</f>
        <v xml:space="preserve">Head 17b, </v>
      </c>
      <c r="W45" s="27" t="str">
        <f>IF(U45 = "Fail", V45, "")</f>
        <v/>
      </c>
      <c r="X45" s="45" t="str">
        <f>IF(AND(SUM(I45)=0,NOT(ISBLANK(L45))),"Fail","Pass")</f>
        <v>Pass</v>
      </c>
      <c r="Y45" s="45" t="str">
        <f>"Head "&amp;A45&amp;" ("&amp;I45&amp;"), "</f>
        <v xml:space="preserve">Head 17b (0), </v>
      </c>
      <c r="Z45" s="27" t="str">
        <f>IF(X45 = "Fail", Y45, "")</f>
        <v/>
      </c>
      <c r="AA45" s="25"/>
    </row>
    <row r="46" spans="1:27" customFormat="1" ht="12.75" customHeight="1" thickBot="1" x14ac:dyDescent="0.4">
      <c r="A46" s="294" t="s">
        <v>660</v>
      </c>
      <c r="B46" s="331"/>
      <c r="C46" s="335" t="s">
        <v>661</v>
      </c>
      <c r="D46" s="312"/>
      <c r="E46" s="312"/>
      <c r="F46" s="312"/>
      <c r="G46" s="313"/>
      <c r="H46" s="306">
        <v>0</v>
      </c>
      <c r="I46" s="306">
        <v>0</v>
      </c>
      <c r="J46" s="327">
        <v>0</v>
      </c>
      <c r="K46" s="73"/>
      <c r="L46" s="73"/>
      <c r="M46" s="74"/>
      <c r="N46" s="75" t="str">
        <f>IF(I46&lt;&gt;J46,A46&amp;" ("&amp;I46&amp;", "&amp;J46&amp;")"&amp;", ","")</f>
        <v/>
      </c>
      <c r="O46" s="45" t="str">
        <f>IF(OR(AND(SUM(Table_9_UK!H46)&lt;&gt;0,ISBLANK(Table_9_UK!K46))),"Fail", "Pass")</f>
        <v>Pass</v>
      </c>
      <c r="P46" s="45" t="str">
        <f>"Head "&amp;A46&amp;", "</f>
        <v xml:space="preserve">Head 17c, </v>
      </c>
      <c r="Q46" s="27" t="str">
        <f>IF(O46 = "Fail", P46, "")</f>
        <v/>
      </c>
      <c r="R46" s="45" t="str">
        <f>IF(AND(SUM(H46)=0,NOT(ISBLANK(K46))),"Fail","Pass")</f>
        <v>Pass</v>
      </c>
      <c r="S46" s="45" t="str">
        <f>"Head "&amp;A46&amp;" ("&amp;H46&amp;"), "</f>
        <v xml:space="preserve">Head 17c (0), </v>
      </c>
      <c r="T46" s="27" t="str">
        <f>IF(R46 = "Fail", S46, "")</f>
        <v/>
      </c>
      <c r="U46" s="45" t="str">
        <f>IF(OR(AND(SUM(Table_9_UK!I46)&lt;&gt;0,ISBLANK(Table_9_UK!L46))),"Fail", "Pass")</f>
        <v>Pass</v>
      </c>
      <c r="V46" s="45" t="str">
        <f>"Head "&amp;A46&amp;", "</f>
        <v xml:space="preserve">Head 17c, </v>
      </c>
      <c r="W46" s="27" t="str">
        <f>IF(U46 = "Fail", V46, "")</f>
        <v/>
      </c>
      <c r="X46" s="45" t="str">
        <f>IF(AND(SUM(I46)=0,NOT(ISBLANK(L46))),"Fail","Pass")</f>
        <v>Pass</v>
      </c>
      <c r="Y46" s="45" t="str">
        <f>"Head "&amp;A46&amp;" ("&amp;I46&amp;"), "</f>
        <v xml:space="preserve">Head 17c (0), </v>
      </c>
      <c r="Z46" s="27" t="str">
        <f>IF(X46 = "Fail", Y46, "")</f>
        <v/>
      </c>
      <c r="AA46" s="25"/>
    </row>
    <row r="47" spans="1:27" customFormat="1" ht="12.75" customHeight="1" thickBot="1" x14ac:dyDescent="0.4">
      <c r="A47" s="294" t="s">
        <v>662</v>
      </c>
      <c r="B47" s="331"/>
      <c r="C47" s="335" t="s">
        <v>663</v>
      </c>
      <c r="D47" s="312"/>
      <c r="E47" s="312"/>
      <c r="F47" s="312"/>
      <c r="G47" s="313"/>
      <c r="H47" s="306">
        <v>0</v>
      </c>
      <c r="I47" s="306">
        <v>0</v>
      </c>
      <c r="J47" s="327">
        <v>0</v>
      </c>
      <c r="K47" s="73"/>
      <c r="L47" s="73"/>
      <c r="M47" s="74"/>
      <c r="N47" s="75" t="str">
        <f>IF(I47&lt;&gt;J47,A47&amp;" ("&amp;I47&amp;", "&amp;J47&amp;")"&amp;", ","")</f>
        <v/>
      </c>
      <c r="O47" s="45" t="str">
        <f>IF(OR(AND(SUM(Table_9_UK!H47)&lt;&gt;0,ISBLANK(Table_9_UK!K47))),"Fail", "Pass")</f>
        <v>Pass</v>
      </c>
      <c r="P47" s="45" t="str">
        <f>"Head "&amp;A47&amp;", "</f>
        <v xml:space="preserve">Head 17d, </v>
      </c>
      <c r="Q47" s="27" t="str">
        <f>IF(O47 = "Fail", P47, "")</f>
        <v/>
      </c>
      <c r="R47" s="45" t="str">
        <f>IF(AND(SUM(H47)=0,NOT(ISBLANK(K47))),"Fail","Pass")</f>
        <v>Pass</v>
      </c>
      <c r="S47" s="45" t="str">
        <f>"Head "&amp;A47&amp;" ("&amp;H47&amp;"), "</f>
        <v xml:space="preserve">Head 17d (0), </v>
      </c>
      <c r="T47" s="27" t="str">
        <f>IF(R47 = "Fail", S47, "")</f>
        <v/>
      </c>
      <c r="U47" s="45" t="str">
        <f>IF(OR(AND(SUM(Table_9_UK!I47)&lt;&gt;0,ISBLANK(Table_9_UK!L47))),"Fail", "Pass")</f>
        <v>Pass</v>
      </c>
      <c r="V47" s="45" t="str">
        <f>"Head "&amp;A47&amp;", "</f>
        <v xml:space="preserve">Head 17d, </v>
      </c>
      <c r="W47" s="27" t="str">
        <f>IF(U47 = "Fail", V47, "")</f>
        <v/>
      </c>
      <c r="X47" s="45" t="str">
        <f>IF(AND(SUM(I47)=0,NOT(ISBLANK(L47))),"Fail","Pass")</f>
        <v>Pass</v>
      </c>
      <c r="Y47" s="45" t="str">
        <f>"Head "&amp;A47&amp;" ("&amp;I47&amp;"), "</f>
        <v xml:space="preserve">Head 17d (0), </v>
      </c>
      <c r="Z47" s="27" t="str">
        <f>IF(X47 = "Fail", Y47, "")</f>
        <v/>
      </c>
      <c r="AA47" s="25"/>
    </row>
    <row r="48" spans="1:27" customFormat="1" ht="12.75" customHeight="1" thickBot="1" x14ac:dyDescent="0.4">
      <c r="A48" s="294" t="s">
        <v>664</v>
      </c>
      <c r="B48" s="336" t="s">
        <v>665</v>
      </c>
      <c r="C48" s="336"/>
      <c r="D48" s="312"/>
      <c r="E48" s="312"/>
      <c r="F48" s="312"/>
      <c r="G48" s="313"/>
      <c r="H48" s="310"/>
      <c r="I48" s="310"/>
      <c r="J48" s="310"/>
      <c r="K48" s="77"/>
      <c r="L48" s="77"/>
      <c r="M48" s="52"/>
      <c r="N48" s="25"/>
      <c r="O48" s="25"/>
      <c r="P48" s="45"/>
      <c r="Q48" s="25"/>
      <c r="R48" s="25"/>
      <c r="S48" s="25"/>
      <c r="T48" s="25"/>
      <c r="U48" s="45"/>
      <c r="V48" s="45"/>
      <c r="W48" s="25"/>
      <c r="X48" s="45"/>
      <c r="Y48" s="25"/>
      <c r="Z48" s="25"/>
      <c r="AA48" s="25"/>
    </row>
    <row r="49" spans="1:27" customFormat="1" ht="12.75" customHeight="1" thickBot="1" x14ac:dyDescent="0.4">
      <c r="A49" s="294" t="s">
        <v>666</v>
      </c>
      <c r="B49" s="335" t="s">
        <v>667</v>
      </c>
      <c r="C49" s="335"/>
      <c r="D49" s="312"/>
      <c r="E49" s="312"/>
      <c r="F49" s="312"/>
      <c r="G49" s="313"/>
      <c r="H49" s="306">
        <v>0</v>
      </c>
      <c r="I49" s="306">
        <v>0</v>
      </c>
      <c r="J49" s="327">
        <v>0</v>
      </c>
      <c r="K49" s="73"/>
      <c r="L49" s="73"/>
      <c r="M49" s="74"/>
      <c r="N49" s="75" t="str">
        <f>IF(I49&lt;&gt;J49,A49&amp;" ("&amp;I49&amp;", "&amp;J49&amp;")"&amp;", ","")</f>
        <v/>
      </c>
      <c r="O49" s="45" t="str">
        <f>IF(OR(AND(SUM(Table_9_UK!H49)&lt;&gt;0,ISBLANK(Table_9_UK!K49))),"Fail", "Pass")</f>
        <v>Pass</v>
      </c>
      <c r="P49" s="45" t="str">
        <f>"Head "&amp;A49&amp;", "</f>
        <v xml:space="preserve">Head 17f, </v>
      </c>
      <c r="Q49" s="27" t="str">
        <f>IF(O49 = "Fail", P49, "")</f>
        <v/>
      </c>
      <c r="R49" s="45" t="str">
        <f>IF(AND(SUM(H49)=0,NOT(ISBLANK(K49))),"Fail","Pass")</f>
        <v>Pass</v>
      </c>
      <c r="S49" s="45" t="str">
        <f>"Head "&amp;A49&amp;" ("&amp;H49&amp;"), "</f>
        <v xml:space="preserve">Head 17f (0), </v>
      </c>
      <c r="T49" s="27" t="str">
        <f>IF(R49 = "Fail", S49, "")</f>
        <v/>
      </c>
      <c r="U49" s="45" t="str">
        <f>IF(OR(AND(SUM(Table_9_UK!I49)&lt;&gt;0,ISBLANK(Table_9_UK!L49))),"Fail", "Pass")</f>
        <v>Pass</v>
      </c>
      <c r="V49" s="45" t="str">
        <f>"Head "&amp;A49&amp;", "</f>
        <v xml:space="preserve">Head 17f, </v>
      </c>
      <c r="W49" s="27" t="str">
        <f>IF(U49 = "Fail", V49, "")</f>
        <v/>
      </c>
      <c r="X49" s="45" t="str">
        <f>IF(AND(SUM(I49)=0,NOT(ISBLANK(L49))),"Fail","Pass")</f>
        <v>Pass</v>
      </c>
      <c r="Y49" s="45" t="str">
        <f>"Head "&amp;A49&amp;" ("&amp;I49&amp;"), "</f>
        <v xml:space="preserve">Head 17f (0), </v>
      </c>
      <c r="Z49" s="27" t="str">
        <f>IF(X49 = "Fail", Y49, "")</f>
        <v/>
      </c>
      <c r="AA49" s="25"/>
    </row>
    <row r="50" spans="1:27" customFormat="1" ht="12.75" customHeight="1" x14ac:dyDescent="0.35">
      <c r="A50" s="294" t="s">
        <v>668</v>
      </c>
      <c r="B50" s="330" t="s">
        <v>669</v>
      </c>
      <c r="C50" s="330"/>
      <c r="D50" s="308"/>
      <c r="E50" s="308"/>
      <c r="F50" s="308"/>
      <c r="G50" s="308"/>
      <c r="H50" s="594"/>
      <c r="I50" s="415"/>
      <c r="J50" s="339"/>
      <c r="K50" s="78"/>
      <c r="L50" s="78"/>
      <c r="M50" s="78"/>
      <c r="N50" s="25"/>
      <c r="O50" s="25"/>
      <c r="P50" s="45"/>
      <c r="Q50" s="25"/>
      <c r="R50" s="25"/>
      <c r="S50" s="25"/>
      <c r="T50" s="25"/>
      <c r="U50" s="45"/>
      <c r="V50" s="45"/>
      <c r="W50" s="25"/>
      <c r="X50" s="45"/>
      <c r="Y50" s="25"/>
      <c r="Z50" s="25"/>
      <c r="AA50" s="25"/>
    </row>
    <row r="51" spans="1:27" x14ac:dyDescent="0.25">
      <c r="A51" s="294"/>
      <c r="B51" s="331"/>
      <c r="C51" s="335"/>
      <c r="D51" s="312"/>
      <c r="E51" s="312"/>
      <c r="F51" s="312"/>
      <c r="G51" s="313"/>
      <c r="H51" s="328"/>
      <c r="I51" s="328"/>
      <c r="J51" s="328"/>
      <c r="K51" s="78"/>
      <c r="L51" s="78"/>
      <c r="M51" s="78"/>
      <c r="P51" s="45"/>
      <c r="U51" s="45"/>
      <c r="V51" s="45"/>
      <c r="X51" s="45"/>
    </row>
    <row r="52" spans="1:27" customFormat="1" ht="15.65" customHeight="1" thickBot="1" x14ac:dyDescent="0.4">
      <c r="A52" s="294">
        <v>18</v>
      </c>
      <c r="B52" s="333" t="s">
        <v>670</v>
      </c>
      <c r="C52" s="334"/>
      <c r="D52" s="296"/>
      <c r="E52" s="296"/>
      <c r="F52" s="296"/>
      <c r="G52" s="297"/>
      <c r="H52" s="315"/>
      <c r="I52" s="315"/>
      <c r="J52" s="315"/>
      <c r="K52" s="78"/>
      <c r="L52" s="78"/>
      <c r="M52" s="78"/>
      <c r="N52" s="25"/>
      <c r="O52" s="25"/>
      <c r="P52" s="45"/>
      <c r="Q52" s="25"/>
      <c r="R52" s="25"/>
      <c r="S52" s="25"/>
      <c r="T52" s="25"/>
      <c r="U52" s="45"/>
      <c r="V52" s="45"/>
      <c r="W52" s="25"/>
      <c r="X52" s="45"/>
      <c r="Y52" s="25"/>
      <c r="Z52" s="25"/>
      <c r="AA52" s="25"/>
    </row>
    <row r="53" spans="1:27" customFormat="1" ht="12.65" customHeight="1" thickBot="1" x14ac:dyDescent="0.4">
      <c r="A53" s="294" t="s">
        <v>671</v>
      </c>
      <c r="B53" s="311"/>
      <c r="C53" s="312" t="s">
        <v>672</v>
      </c>
      <c r="D53" s="312"/>
      <c r="E53" s="312"/>
      <c r="F53" s="312"/>
      <c r="G53" s="313"/>
      <c r="H53" s="306">
        <v>0</v>
      </c>
      <c r="I53" s="306">
        <v>0</v>
      </c>
      <c r="J53" s="327">
        <v>0</v>
      </c>
      <c r="K53" s="73"/>
      <c r="L53" s="73"/>
      <c r="M53" s="74"/>
      <c r="N53" s="75" t="str">
        <f>IF(I53&lt;&gt;J53,A53&amp;" ("&amp;I53&amp;", "&amp;J53&amp;")"&amp;", ","")</f>
        <v/>
      </c>
      <c r="O53" s="45" t="str">
        <f>IF(OR(AND(SUM(Table_9_UK!H53)&lt;&gt;0,ISBLANK(Table_9_UK!K53))),"Fail", "Pass")</f>
        <v>Pass</v>
      </c>
      <c r="P53" s="45" t="str">
        <f>"Head "&amp;A53&amp;", "</f>
        <v xml:space="preserve">Head 18a, </v>
      </c>
      <c r="Q53" s="27" t="str">
        <f>IF(O53 = "Fail", P53, "")</f>
        <v/>
      </c>
      <c r="R53" s="45" t="str">
        <f>IF(AND(SUM(H53)=0,NOT(ISBLANK(K53))),"Fail","Pass")</f>
        <v>Pass</v>
      </c>
      <c r="S53" s="45" t="str">
        <f>"Head "&amp;A53&amp;" ("&amp;H53&amp;"), "</f>
        <v xml:space="preserve">Head 18a (0), </v>
      </c>
      <c r="T53" s="27" t="str">
        <f>IF(R53 = "Fail", S53, "")</f>
        <v/>
      </c>
      <c r="U53" s="45" t="str">
        <f>IF(OR(AND(SUM(Table_9_UK!I53)&lt;&gt;0,ISBLANK(Table_9_UK!L53))),"Fail", "Pass")</f>
        <v>Pass</v>
      </c>
      <c r="V53" s="45" t="str">
        <f>"Head "&amp;A53&amp;", "</f>
        <v xml:space="preserve">Head 18a, </v>
      </c>
      <c r="W53" s="27" t="str">
        <f>IF(U53 = "Fail", V53, "")</f>
        <v/>
      </c>
      <c r="X53" s="45" t="str">
        <f>IF(AND(SUM(I53)=0,NOT(ISBLANK(L53))),"Fail","Pass")</f>
        <v>Pass</v>
      </c>
      <c r="Y53" s="45" t="str">
        <f>"Head "&amp;A53&amp;" ("&amp;I53&amp;"), "</f>
        <v xml:space="preserve">Head 18a (0), </v>
      </c>
      <c r="Z53" s="27" t="str">
        <f>IF(X53 = "Fail", Y53, "")</f>
        <v/>
      </c>
      <c r="AA53" s="25"/>
    </row>
    <row r="54" spans="1:27" customFormat="1" ht="12.65" customHeight="1" thickBot="1" x14ac:dyDescent="0.4">
      <c r="A54" s="294" t="s">
        <v>673</v>
      </c>
      <c r="B54" s="595"/>
      <c r="C54" s="312" t="s">
        <v>674</v>
      </c>
      <c r="D54" s="312"/>
      <c r="E54" s="312"/>
      <c r="F54" s="312"/>
      <c r="G54" s="313"/>
      <c r="H54" s="306">
        <v>0</v>
      </c>
      <c r="I54" s="306">
        <v>0</v>
      </c>
      <c r="J54" s="327">
        <v>0</v>
      </c>
      <c r="K54" s="73"/>
      <c r="L54" s="73"/>
      <c r="M54" s="74"/>
      <c r="N54" s="75" t="str">
        <f>IF(I54&lt;&gt;J54,A54&amp;" ("&amp;I54&amp;", "&amp;J54&amp;")"&amp;", ","")</f>
        <v/>
      </c>
      <c r="O54" s="45" t="str">
        <f>IF(OR(AND(SUM(Table_9_UK!H54)&lt;&gt;0,ISBLANK(Table_9_UK!K54))),"Fail", "Pass")</f>
        <v>Pass</v>
      </c>
      <c r="P54" s="45" t="str">
        <f>"Head "&amp;A54&amp;", "</f>
        <v xml:space="preserve">Head 18b, </v>
      </c>
      <c r="Q54" s="27" t="str">
        <f>IF(O54 = "Fail", P54, "")</f>
        <v/>
      </c>
      <c r="R54" s="45" t="str">
        <f>IF(AND(SUM(H54)=0,NOT(ISBLANK(K54))),"Fail","Pass")</f>
        <v>Pass</v>
      </c>
      <c r="S54" s="45" t="str">
        <f>"Head "&amp;A54&amp;" ("&amp;H54&amp;"), "</f>
        <v xml:space="preserve">Head 18b (0), </v>
      </c>
      <c r="T54" s="27" t="str">
        <f>IF(R54 = "Fail", S54, "")</f>
        <v/>
      </c>
      <c r="U54" s="45" t="str">
        <f>IF(OR(AND(SUM(Table_9_UK!I54)&lt;&gt;0,ISBLANK(Table_9_UK!L54))),"Fail", "Pass")</f>
        <v>Pass</v>
      </c>
      <c r="V54" s="45" t="str">
        <f>"Head "&amp;A54&amp;", "</f>
        <v xml:space="preserve">Head 18b, </v>
      </c>
      <c r="W54" s="27" t="str">
        <f>IF(U54 = "Fail", V54, "")</f>
        <v/>
      </c>
      <c r="X54" s="45" t="str">
        <f>IF(AND(SUM(I54)=0,NOT(ISBLANK(L54))),"Fail","Pass")</f>
        <v>Pass</v>
      </c>
      <c r="Y54" s="45" t="str">
        <f>"Head "&amp;A54&amp;" ("&amp;I54&amp;"), "</f>
        <v xml:space="preserve">Head 18b (0), </v>
      </c>
      <c r="Z54" s="27" t="str">
        <f>IF(X54 = "Fail", Y54, "")</f>
        <v/>
      </c>
      <c r="AA54" s="25"/>
    </row>
  </sheetData>
  <sheetProtection algorithmName="SHA-512" hashValue="pnxA4QxNZiFCDFy5hkNdAMFaZOI6/nDzi21Lo6HLvrCjY2OmXA7dazinjENY/YO4rvsW0tT6nkOzzqiBmu5igg==" saltValue="rzR3YTcPw+ue1J6cNOCf3Q==" spinCount="100000" sheet="1" objects="1"/>
  <mergeCells count="7">
    <mergeCell ref="Y3:Z3"/>
    <mergeCell ref="B22:G22"/>
    <mergeCell ref="B1:G1"/>
    <mergeCell ref="K2:L2"/>
    <mergeCell ref="P3:Q3"/>
    <mergeCell ref="S3:T3"/>
    <mergeCell ref="V3:W3"/>
  </mergeCells>
  <conditionalFormatting sqref="I6:I11">
    <cfRule type="expression" dxfId="8" priority="1">
      <formula>I6&lt;&gt;J6</formula>
    </cfRule>
  </conditionalFormatting>
  <conditionalFormatting sqref="I15:I19">
    <cfRule type="expression" dxfId="7" priority="2">
      <formula>I15&lt;&gt;J15</formula>
    </cfRule>
  </conditionalFormatting>
  <conditionalFormatting sqref="I24">
    <cfRule type="expression" dxfId="6" priority="3">
      <formula>I24&lt;&gt;J24</formula>
    </cfRule>
  </conditionalFormatting>
  <conditionalFormatting sqref="I26:I28">
    <cfRule type="expression" dxfId="5" priority="4">
      <formula>I26&lt;&gt;J26</formula>
    </cfRule>
  </conditionalFormatting>
  <conditionalFormatting sqref="I32">
    <cfRule type="expression" dxfId="4" priority="5">
      <formula>I32&lt;&gt;J32</formula>
    </cfRule>
  </conditionalFormatting>
  <conditionalFormatting sqref="I36:I39">
    <cfRule type="expression" dxfId="3" priority="6">
      <formula>I36&lt;&gt;J36</formula>
    </cfRule>
  </conditionalFormatting>
  <conditionalFormatting sqref="I44:I47">
    <cfRule type="expression" dxfId="2" priority="7">
      <formula>I44&lt;&gt;J44</formula>
    </cfRule>
  </conditionalFormatting>
  <conditionalFormatting sqref="I49">
    <cfRule type="expression" dxfId="1" priority="8">
      <formula>I49&lt;&gt;J49</formula>
    </cfRule>
  </conditionalFormatting>
  <conditionalFormatting sqref="I53:I54">
    <cfRule type="expression" dxfId="0" priority="9">
      <formula>I53&lt;&gt;J53</formula>
    </cfRule>
  </conditionalFormatting>
  <dataValidations xWindow="1045" yWindow="2007" count="4">
    <dataValidation type="textLength" allowBlank="1" showInputMessage="1" showErrorMessage="1" promptTitle="Maximum 250 characters" prompt=" " sqref="K6:M11 K15:M19 K24:M28 K32:M32 K36:M39 K44:M47 K49:M49 K53:M54" xr:uid="{00000000-0002-0000-1000-000000000000}">
      <formula1>0</formula1>
      <formula2>250</formula2>
    </dataValidation>
    <dataValidation type="whole" operator="greaterThan" allowBlank="1" showInputMessage="1" showErrorMessage="1" errorTitle="Whole numbers only allowed" promptTitle="If a value is entered here..." prompt="Please complete the text box to the right (column L)" sqref="I6:I11 I15:I19 I24 I26:I28 I32 I36:I39 I44:I47 I49 I53:I54" xr:uid="{00000000-0002-0000-1000-000001000000}">
      <formula1>-99999999</formula1>
    </dataValidation>
    <dataValidation type="whole" operator="greaterThan" allowBlank="1" showInputMessage="1" showErrorMessage="1" errorTitle="Whole numbers only allowed" error="All monies should be independently rounded to the nearest £1,000." sqref="H25:J25 H48:I48 H50:I50" xr:uid="{00000000-0002-0000-1000-000002000000}">
      <formula1>-99999999</formula1>
    </dataValidation>
    <dataValidation type="whole" operator="greaterThan" allowBlank="1" showInputMessage="1" showErrorMessage="1" errorTitle="Whole numbers only allowed" promptTitle="If a value is entered here..." prompt="Please complete the text box to the right (column K)" sqref="H6:H11 H15:H19 H24 H26:H28 H32 H36:H39 H44:H47 H49 H53:H54" xr:uid="{00000000-0002-0000-1000-000003000000}">
      <formula1>-99999999</formula1>
    </dataValidation>
  </dataValidations>
  <printOptions headings="1" gridLines="1"/>
  <pageMargins left="0.31496062992125984" right="0.31496062992125984" top="0.74803149606299213" bottom="0.74803149606299213" header="0.31496062992125984" footer="0.31496062992125984"/>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690B-D05E-4136-B927-4BCF91B76C00}">
  <sheetPr codeName="Sheet18">
    <pageSetUpPr fitToPage="1"/>
  </sheetPr>
  <dimension ref="A1:AC56"/>
  <sheetViews>
    <sheetView zoomScale="80" zoomScaleNormal="80" workbookViewId="0">
      <pane xSplit="7" ySplit="5" topLeftCell="H33" activePane="bottomRight" state="frozenSplit"/>
      <selection activeCell="C42" sqref="C42"/>
      <selection pane="topRight"/>
      <selection pane="bottomLeft"/>
      <selection pane="bottomRight" activeCell="H58" sqref="H58"/>
    </sheetView>
  </sheetViews>
  <sheetFormatPr defaultColWidth="10" defaultRowHeight="14.5" x14ac:dyDescent="0.35"/>
  <cols>
    <col min="1" max="1" width="12.1796875" style="25" customWidth="1"/>
    <col min="2" max="2" width="4.54296875" style="25" customWidth="1"/>
    <col min="3" max="3" width="129.1796875" style="25" customWidth="1"/>
    <col min="4" max="4" width="53.54296875" style="25" hidden="1" customWidth="1"/>
    <col min="5" max="7" width="9.1796875" style="25" hidden="1" customWidth="1"/>
    <col min="8" max="8" width="15.54296875" style="25" customWidth="1"/>
    <col min="9" max="9" width="15" style="25" customWidth="1"/>
    <col min="10" max="10" width="15.1796875" style="25" customWidth="1"/>
    <col min="11" max="11" width="14.453125" style="25" customWidth="1"/>
    <col min="12" max="12" width="15.1796875" style="25" customWidth="1"/>
    <col min="13" max="13" width="15.81640625" style="25" customWidth="1"/>
    <col min="14" max="14" width="14.81640625" style="25" customWidth="1"/>
    <col min="15" max="15" width="15.1796875" style="25" customWidth="1"/>
    <col min="16" max="16" width="15.81640625" style="25" customWidth="1"/>
    <col min="17" max="17" width="14.81640625" style="25" customWidth="1"/>
    <col min="18" max="18" width="101.1796875" style="128" customWidth="1"/>
    <col min="19" max="19" width="9.81640625" style="128" bestFit="1" customWidth="1"/>
    <col min="20" max="20" width="16.453125" style="25" hidden="1" customWidth="1"/>
    <col min="21" max="21" width="15.81640625" style="25" hidden="1" customWidth="1"/>
    <col min="22" max="22" width="16.453125" style="25" hidden="1" customWidth="1"/>
    <col min="23" max="23" width="14.453125" style="25" hidden="1" customWidth="1"/>
    <col min="24" max="24" width="16.453125" style="25" hidden="1" customWidth="1"/>
    <col min="25" max="25" width="16" style="25" hidden="1" customWidth="1"/>
    <col min="26" max="26" width="16.453125" style="25" hidden="1" customWidth="1"/>
    <col min="27" max="27" width="17.81640625" style="25" hidden="1" customWidth="1"/>
    <col min="28" max="28" width="5.81640625" style="25" hidden="1" customWidth="1"/>
    <col min="29" max="29" width="42.81640625" style="25" hidden="1" customWidth="1"/>
    <col min="30" max="30" width="10" style="25" customWidth="1"/>
    <col min="31" max="16384" width="10" style="25"/>
  </cols>
  <sheetData>
    <row r="1" spans="1:29" customFormat="1" ht="15.5" customHeight="1" x14ac:dyDescent="0.35">
      <c r="A1" s="379" t="s">
        <v>1144</v>
      </c>
      <c r="B1" s="681" t="s">
        <v>1145</v>
      </c>
      <c r="C1" s="681"/>
      <c r="D1" s="681"/>
      <c r="E1" s="681"/>
      <c r="F1" s="681"/>
      <c r="G1" s="681"/>
      <c r="H1" s="734"/>
      <c r="I1" s="734"/>
      <c r="J1" s="734"/>
      <c r="K1" s="734"/>
      <c r="L1" s="734"/>
      <c r="M1" s="597"/>
      <c r="N1" s="597"/>
      <c r="O1" s="597"/>
      <c r="P1" s="597"/>
      <c r="Q1" s="598"/>
    </row>
    <row r="2" spans="1:29" customFormat="1" ht="15.65" customHeight="1" x14ac:dyDescent="0.35">
      <c r="A2" s="736"/>
      <c r="B2" s="737"/>
      <c r="C2" s="737"/>
      <c r="D2" s="737"/>
      <c r="E2" s="737"/>
      <c r="F2" s="347"/>
      <c r="G2" s="347"/>
      <c r="H2" s="735"/>
      <c r="I2" s="735"/>
      <c r="J2" s="735"/>
      <c r="K2" s="735"/>
      <c r="L2" s="735"/>
      <c r="M2" s="350"/>
      <c r="N2" s="353"/>
      <c r="O2" s="353"/>
      <c r="P2" s="353"/>
      <c r="Q2" s="354"/>
      <c r="T2" s="69" t="s">
        <v>230</v>
      </c>
      <c r="U2" s="69" t="s">
        <v>230</v>
      </c>
      <c r="V2" s="69" t="s">
        <v>230</v>
      </c>
      <c r="W2" s="69" t="s">
        <v>230</v>
      </c>
      <c r="X2" s="69" t="s">
        <v>230</v>
      </c>
      <c r="Y2" s="69" t="s">
        <v>230</v>
      </c>
      <c r="Z2" s="69" t="s">
        <v>230</v>
      </c>
      <c r="AA2" s="69" t="s">
        <v>230</v>
      </c>
      <c r="AC2" s="69" t="s">
        <v>230</v>
      </c>
    </row>
    <row r="3" spans="1:29" customFormat="1" ht="72.5" customHeight="1" x14ac:dyDescent="0.35">
      <c r="A3" s="600"/>
      <c r="B3" s="731" t="s">
        <v>1146</v>
      </c>
      <c r="C3" s="731"/>
      <c r="D3" s="601"/>
      <c r="E3" s="601"/>
      <c r="F3" s="601"/>
      <c r="G3" s="601"/>
      <c r="H3" s="729" t="str">
        <f>'Hide_me(drop_downs)'!I7</f>
        <v>Head of provider at
 31 July 2025</v>
      </c>
      <c r="I3" s="730"/>
      <c r="J3" s="729" t="s">
        <v>1147</v>
      </c>
      <c r="K3" s="730"/>
      <c r="L3" s="729" t="s">
        <v>1148</v>
      </c>
      <c r="M3" s="730"/>
      <c r="N3" s="729" t="s">
        <v>1149</v>
      </c>
      <c r="O3" s="730"/>
      <c r="P3" s="729" t="s">
        <v>669</v>
      </c>
      <c r="Q3" s="730"/>
      <c r="T3" s="729" t="str">
        <f>H3</f>
        <v>Head of provider at
 31 July 2025</v>
      </c>
      <c r="U3" s="730"/>
      <c r="V3" s="729" t="str">
        <f>J3</f>
        <v>Previous Head of provider (1)</v>
      </c>
      <c r="W3" s="730"/>
      <c r="X3" s="729" t="str">
        <f>L3</f>
        <v>Previous Head of provider (2)</v>
      </c>
      <c r="Y3" s="730"/>
      <c r="Z3" s="729" t="str">
        <f>N3</f>
        <v>Previous Head of provider (3)</v>
      </c>
      <c r="AA3" s="730"/>
      <c r="AC3" s="350"/>
    </row>
    <row r="4" spans="1:29" customFormat="1" ht="56.25" customHeight="1" x14ac:dyDescent="0.35">
      <c r="A4" s="600"/>
      <c r="B4" s="731" t="s">
        <v>1150</v>
      </c>
      <c r="C4" s="731"/>
      <c r="D4" s="601"/>
      <c r="E4" s="601"/>
      <c r="F4" s="601"/>
      <c r="G4" s="601"/>
      <c r="H4" s="287" t="str">
        <f>'Hide_me(drop_downs)'!I1</f>
        <v>Year ended 31 July 2025</v>
      </c>
      <c r="I4" s="288" t="str">
        <f>'Hide_me(drop_downs)'!J1</f>
        <v>Year ended 31 July 2024</v>
      </c>
      <c r="J4" s="287" t="str">
        <f>'Hide_me(drop_downs)'!I1</f>
        <v>Year ended 31 July 2025</v>
      </c>
      <c r="K4" s="288" t="str">
        <f>'Hide_me(drop_downs)'!J1</f>
        <v>Year ended 31 July 2024</v>
      </c>
      <c r="L4" s="287" t="str">
        <f>'Hide_me(drop_downs)'!I1</f>
        <v>Year ended 31 July 2025</v>
      </c>
      <c r="M4" s="288" t="str">
        <f>'Hide_me(drop_downs)'!J1</f>
        <v>Year ended 31 July 2024</v>
      </c>
      <c r="N4" s="287" t="str">
        <f>'Hide_me(drop_downs)'!I1</f>
        <v>Year ended 31 July 2025</v>
      </c>
      <c r="O4" s="288" t="str">
        <f>'Hide_me(drop_downs)'!J1</f>
        <v>Year ended 31 July 2024</v>
      </c>
      <c r="P4" s="287" t="str">
        <f>'Hide_me(drop_downs)'!I1</f>
        <v>Year ended 31 July 2025</v>
      </c>
      <c r="Q4" s="288" t="str">
        <f>'Hide_me(drop_downs)'!J1</f>
        <v>Year ended 31 July 2024</v>
      </c>
      <c r="T4" s="287" t="str">
        <f>'Hide_me(drop_downs)'!I1</f>
        <v>Year ended 31 July 2025</v>
      </c>
      <c r="U4" s="288" t="str">
        <f>'Hide_me(drop_downs)'!J1</f>
        <v>Year ended 31 July 2024</v>
      </c>
      <c r="V4" s="287" t="str">
        <f>'Hide_me(drop_downs)'!I1</f>
        <v>Year ended 31 July 2025</v>
      </c>
      <c r="W4" s="288" t="str">
        <f>'Hide_me(drop_downs)'!J1</f>
        <v>Year ended 31 July 2024</v>
      </c>
      <c r="X4" s="287" t="str">
        <f>'Hide_me(drop_downs)'!I1</f>
        <v>Year ended 31 July 2025</v>
      </c>
      <c r="Y4" s="288" t="str">
        <f>'Hide_me(drop_downs)'!J1</f>
        <v>Year ended 31 July 2024</v>
      </c>
      <c r="Z4" s="287" t="str">
        <f>'Hide_me(drop_downs)'!I1</f>
        <v>Year ended 31 July 2025</v>
      </c>
      <c r="AA4" s="288" t="str">
        <f>'Hide_me(drop_downs)'!J1</f>
        <v>Year ended 31 July 2024</v>
      </c>
      <c r="AC4" s="384" t="s">
        <v>1145</v>
      </c>
    </row>
    <row r="5" spans="1:29" customFormat="1" ht="26.75" customHeight="1" x14ac:dyDescent="0.35">
      <c r="A5" s="600"/>
      <c r="B5" s="285"/>
      <c r="C5" s="285"/>
      <c r="D5" s="285"/>
      <c r="E5" s="285"/>
      <c r="F5" s="285"/>
      <c r="G5" s="285"/>
      <c r="H5" s="293" t="s">
        <v>607</v>
      </c>
      <c r="I5" s="293" t="s">
        <v>607</v>
      </c>
      <c r="J5" s="293" t="s">
        <v>607</v>
      </c>
      <c r="K5" s="293" t="s">
        <v>607</v>
      </c>
      <c r="L5" s="293" t="s">
        <v>607</v>
      </c>
      <c r="M5" s="293" t="s">
        <v>607</v>
      </c>
      <c r="N5" s="293" t="s">
        <v>607</v>
      </c>
      <c r="O5" s="293" t="s">
        <v>607</v>
      </c>
      <c r="P5" s="293" t="s">
        <v>607</v>
      </c>
      <c r="Q5" s="293" t="s">
        <v>607</v>
      </c>
      <c r="T5" s="293" t="s">
        <v>607</v>
      </c>
      <c r="U5" s="293" t="s">
        <v>607</v>
      </c>
      <c r="V5" s="293" t="s">
        <v>607</v>
      </c>
      <c r="W5" s="293" t="s">
        <v>607</v>
      </c>
      <c r="X5" s="293" t="s">
        <v>607</v>
      </c>
      <c r="Y5" s="293" t="s">
        <v>607</v>
      </c>
      <c r="Z5" s="293" t="s">
        <v>607</v>
      </c>
      <c r="AA5" s="293" t="s">
        <v>607</v>
      </c>
      <c r="AC5" s="384" t="s">
        <v>1151</v>
      </c>
    </row>
    <row r="6" spans="1:29" x14ac:dyDescent="0.35">
      <c r="A6" s="294" t="s">
        <v>613</v>
      </c>
      <c r="B6" s="438" t="s">
        <v>1152</v>
      </c>
      <c r="C6" s="557"/>
      <c r="D6" s="438"/>
      <c r="E6" s="301"/>
      <c r="F6" s="301"/>
      <c r="G6" s="302"/>
      <c r="H6" s="732" t="s">
        <v>1419</v>
      </c>
      <c r="I6" s="733"/>
      <c r="J6" s="732" t="s">
        <v>1153</v>
      </c>
      <c r="K6" s="733"/>
      <c r="L6" s="732" t="s">
        <v>1153</v>
      </c>
      <c r="M6" s="733"/>
      <c r="N6" s="732" t="s">
        <v>1153</v>
      </c>
      <c r="O6" s="733"/>
      <c r="P6" s="720" t="s">
        <v>1154</v>
      </c>
      <c r="Q6" s="721"/>
    </row>
    <row r="7" spans="1:29" x14ac:dyDescent="0.35">
      <c r="A7" s="294" t="s">
        <v>615</v>
      </c>
      <c r="B7" s="438" t="s">
        <v>1155</v>
      </c>
      <c r="C7" s="557"/>
      <c r="D7" s="438"/>
      <c r="E7" s="301"/>
      <c r="F7" s="301"/>
      <c r="G7" s="302"/>
      <c r="H7" s="727">
        <v>43136</v>
      </c>
      <c r="I7" s="728"/>
      <c r="J7" s="727"/>
      <c r="K7" s="728"/>
      <c r="L7" s="727"/>
      <c r="M7" s="728"/>
      <c r="N7" s="727"/>
      <c r="O7" s="728"/>
      <c r="P7" s="720" t="s">
        <v>1154</v>
      </c>
      <c r="Q7" s="721"/>
      <c r="S7" s="156"/>
      <c r="T7" s="602" t="str">
        <f>IF(TEXT(H7,"YYYYMMDD")="19000100","0",TEXT(H7,"YYYYMMDD"))</f>
        <v>20180205</v>
      </c>
      <c r="V7" s="602" t="str">
        <f>IF(TEXT(J7,"YYYYMMDD")="19000100","0",TEXT(J7,"YYYYMMDD"))</f>
        <v>0</v>
      </c>
      <c r="X7" s="602" t="str">
        <f>IF(TEXT(L7,"YYYYMMDD")="19000100","0",TEXT(L7,"YYYYMMDD"))</f>
        <v>0</v>
      </c>
      <c r="Z7" s="602" t="str">
        <f>IF(TEXT(N7,"YYYYMMDD")="19000100","0",TEXT(N7,"YYYYMMDD"))</f>
        <v>0</v>
      </c>
    </row>
    <row r="8" spans="1:29" x14ac:dyDescent="0.35">
      <c r="A8" s="294" t="s">
        <v>617</v>
      </c>
      <c r="B8" s="438" t="s">
        <v>1156</v>
      </c>
      <c r="C8" s="557"/>
      <c r="D8" s="438"/>
      <c r="E8" s="301"/>
      <c r="F8" s="301"/>
      <c r="G8" s="302"/>
      <c r="H8" s="727"/>
      <c r="I8" s="728"/>
      <c r="J8" s="727"/>
      <c r="K8" s="728"/>
      <c r="L8" s="727"/>
      <c r="M8" s="728"/>
      <c r="N8" s="727"/>
      <c r="O8" s="728"/>
      <c r="P8" s="720" t="s">
        <v>1154</v>
      </c>
      <c r="Q8" s="721"/>
      <c r="T8" s="602" t="str">
        <f>IF(TEXT(H8,"YYYYMMDD")="19000100","0",TEXT(H8,"YYYYMMDD"))</f>
        <v>0</v>
      </c>
      <c r="V8" s="602" t="str">
        <f>IF(TEXT(J8,"YYYYMMDD")="19000100","0",TEXT(J8,"YYYYMMDD"))</f>
        <v>0</v>
      </c>
      <c r="X8" s="602" t="str">
        <f>IF(TEXT(L8,"YYYYMMDD")="19000100","0",TEXT(L8,"YYYYMMDD"))</f>
        <v>0</v>
      </c>
      <c r="Z8" s="602" t="str">
        <f>IF(TEXT(N8,"YYYYMMDD")="19000100","0",TEXT(N8,"YYYYMMDD"))</f>
        <v>0</v>
      </c>
    </row>
    <row r="9" spans="1:29" x14ac:dyDescent="0.35">
      <c r="A9" s="294"/>
      <c r="B9" s="438"/>
      <c r="C9" s="557"/>
      <c r="D9" s="603"/>
      <c r="E9" s="604"/>
      <c r="F9" s="301"/>
      <c r="G9" s="302"/>
      <c r="H9" s="605"/>
      <c r="I9" s="606"/>
      <c r="J9" s="605"/>
      <c r="K9" s="606"/>
      <c r="L9" s="605"/>
      <c r="M9" s="606"/>
      <c r="N9" s="605"/>
      <c r="O9" s="606"/>
      <c r="P9" s="157"/>
      <c r="Q9" s="158"/>
      <c r="T9" s="607"/>
      <c r="V9" s="607"/>
      <c r="X9" s="607"/>
      <c r="Z9" s="607"/>
    </row>
    <row r="10" spans="1:29" x14ac:dyDescent="0.35">
      <c r="A10" s="294">
        <v>2</v>
      </c>
      <c r="B10" s="608" t="s">
        <v>1157</v>
      </c>
      <c r="C10" s="609"/>
      <c r="D10" s="610"/>
      <c r="E10" s="611"/>
      <c r="F10" s="612"/>
      <c r="G10" s="612"/>
      <c r="H10" s="613"/>
      <c r="I10" s="613"/>
      <c r="J10" s="613"/>
      <c r="K10" s="613"/>
      <c r="L10" s="613"/>
      <c r="M10" s="613"/>
      <c r="N10" s="613"/>
      <c r="O10" s="613"/>
      <c r="P10" s="613"/>
      <c r="Q10" s="613"/>
    </row>
    <row r="11" spans="1:29" x14ac:dyDescent="0.35">
      <c r="A11" s="294" t="s">
        <v>628</v>
      </c>
      <c r="B11" s="438" t="s">
        <v>1158</v>
      </c>
      <c r="C11" s="438"/>
      <c r="D11" s="438"/>
      <c r="E11" s="301"/>
      <c r="F11" s="301"/>
      <c r="G11" s="302"/>
      <c r="H11" s="306">
        <v>375</v>
      </c>
      <c r="I11" s="306">
        <v>348</v>
      </c>
      <c r="J11" s="306">
        <v>0</v>
      </c>
      <c r="K11" s="306">
        <v>0</v>
      </c>
      <c r="L11" s="306">
        <v>0</v>
      </c>
      <c r="M11" s="306">
        <v>0</v>
      </c>
      <c r="N11" s="306">
        <v>0</v>
      </c>
      <c r="O11" s="306">
        <v>0</v>
      </c>
      <c r="P11" s="720" t="s">
        <v>1154</v>
      </c>
      <c r="Q11" s="721"/>
    </row>
    <row r="12" spans="1:29" x14ac:dyDescent="0.35">
      <c r="A12" s="294"/>
      <c r="B12" s="438"/>
      <c r="C12" s="438"/>
      <c r="D12" s="603"/>
      <c r="E12" s="604"/>
      <c r="F12" s="301"/>
      <c r="G12" s="302"/>
      <c r="H12" s="366"/>
      <c r="I12" s="366"/>
      <c r="J12" s="366"/>
      <c r="K12" s="366"/>
      <c r="L12" s="366"/>
      <c r="M12" s="366"/>
      <c r="N12" s="366"/>
      <c r="O12" s="366"/>
      <c r="P12" s="19"/>
      <c r="Q12" s="19"/>
    </row>
    <row r="13" spans="1:29" x14ac:dyDescent="0.35">
      <c r="A13" s="294" t="s">
        <v>630</v>
      </c>
      <c r="B13" s="608" t="s">
        <v>1159</v>
      </c>
      <c r="C13" s="609"/>
      <c r="D13" s="610"/>
      <c r="E13" s="611"/>
      <c r="F13" s="612"/>
      <c r="G13" s="612"/>
      <c r="H13" s="613"/>
      <c r="I13" s="613"/>
      <c r="J13" s="613"/>
      <c r="K13" s="613"/>
      <c r="L13" s="613"/>
      <c r="M13" s="613"/>
      <c r="N13" s="613"/>
      <c r="O13" s="613"/>
      <c r="P13" s="613"/>
      <c r="Q13" s="613"/>
    </row>
    <row r="14" spans="1:29" x14ac:dyDescent="0.35">
      <c r="A14" s="294" t="s">
        <v>970</v>
      </c>
      <c r="B14" s="438"/>
      <c r="C14" s="438" t="s">
        <v>1160</v>
      </c>
      <c r="D14" s="438"/>
      <c r="E14" s="301"/>
      <c r="F14" s="301"/>
      <c r="G14" s="302"/>
      <c r="H14" s="306">
        <v>375</v>
      </c>
      <c r="I14" s="306">
        <v>363</v>
      </c>
      <c r="J14" s="306">
        <v>0</v>
      </c>
      <c r="K14" s="306">
        <v>0</v>
      </c>
      <c r="L14" s="306">
        <v>0</v>
      </c>
      <c r="M14" s="306">
        <v>0</v>
      </c>
      <c r="N14" s="306">
        <v>0</v>
      </c>
      <c r="O14" s="306">
        <v>0</v>
      </c>
      <c r="P14" s="310">
        <f>SUM(H14+J14+L14+N14)</f>
        <v>375</v>
      </c>
      <c r="Q14" s="310">
        <f>SUM(I14+K14+M14+O14)</f>
        <v>363</v>
      </c>
    </row>
    <row r="15" spans="1:29" x14ac:dyDescent="0.35">
      <c r="A15" s="294" t="s">
        <v>972</v>
      </c>
      <c r="B15" s="438"/>
      <c r="C15" s="438" t="s">
        <v>1161</v>
      </c>
      <c r="D15" s="438"/>
      <c r="E15" s="301"/>
      <c r="F15" s="301"/>
      <c r="G15" s="302"/>
      <c r="H15" s="306">
        <v>0</v>
      </c>
      <c r="I15" s="306">
        <v>0</v>
      </c>
      <c r="J15" s="306">
        <v>0</v>
      </c>
      <c r="K15" s="306">
        <v>0</v>
      </c>
      <c r="L15" s="306">
        <v>0</v>
      </c>
      <c r="M15" s="306">
        <v>0</v>
      </c>
      <c r="N15" s="306">
        <v>0</v>
      </c>
      <c r="O15" s="306">
        <v>0</v>
      </c>
      <c r="P15" s="310">
        <f>SUM(H15+J15+L15+N15)</f>
        <v>0</v>
      </c>
      <c r="Q15" s="310">
        <f>SUM(I15+K15+M15+O15)</f>
        <v>0</v>
      </c>
    </row>
    <row r="16" spans="1:29" x14ac:dyDescent="0.35">
      <c r="A16" s="294" t="s">
        <v>974</v>
      </c>
      <c r="B16" s="581" t="s">
        <v>1162</v>
      </c>
      <c r="C16" s="363"/>
      <c r="D16" s="614"/>
      <c r="E16" s="615"/>
      <c r="F16" s="364"/>
      <c r="G16" s="364"/>
      <c r="H16" s="310">
        <f t="shared" ref="H16:Q16" si="0">SUM(H14:H15)</f>
        <v>375</v>
      </c>
      <c r="I16" s="310">
        <f t="shared" si="0"/>
        <v>363</v>
      </c>
      <c r="J16" s="310">
        <f t="shared" si="0"/>
        <v>0</v>
      </c>
      <c r="K16" s="310">
        <f t="shared" si="0"/>
        <v>0</v>
      </c>
      <c r="L16" s="310">
        <f t="shared" si="0"/>
        <v>0</v>
      </c>
      <c r="M16" s="310">
        <f t="shared" si="0"/>
        <v>0</v>
      </c>
      <c r="N16" s="310">
        <f t="shared" si="0"/>
        <v>0</v>
      </c>
      <c r="O16" s="310">
        <f t="shared" si="0"/>
        <v>0</v>
      </c>
      <c r="P16" s="310">
        <f t="shared" si="0"/>
        <v>375</v>
      </c>
      <c r="Q16" s="310">
        <f t="shared" si="0"/>
        <v>363</v>
      </c>
    </row>
    <row r="17" spans="1:23" x14ac:dyDescent="0.35">
      <c r="A17" s="294" t="s">
        <v>632</v>
      </c>
      <c r="B17" s="438"/>
      <c r="C17" s="438" t="s">
        <v>1163</v>
      </c>
      <c r="D17" s="438"/>
      <c r="E17" s="312"/>
      <c r="F17" s="312"/>
      <c r="G17" s="312"/>
      <c r="H17" s="306">
        <v>43</v>
      </c>
      <c r="I17" s="306">
        <v>49</v>
      </c>
      <c r="J17" s="306">
        <v>0</v>
      </c>
      <c r="K17" s="306">
        <v>0</v>
      </c>
      <c r="L17" s="306">
        <v>0</v>
      </c>
      <c r="M17" s="306">
        <v>0</v>
      </c>
      <c r="N17" s="306">
        <v>0</v>
      </c>
      <c r="O17" s="306">
        <v>0</v>
      </c>
      <c r="P17" s="310">
        <f t="shared" ref="P17:Q22" si="1">SUM(H17+J17+L17+N17)</f>
        <v>43</v>
      </c>
      <c r="Q17" s="310">
        <f t="shared" si="1"/>
        <v>49</v>
      </c>
    </row>
    <row r="18" spans="1:23" x14ac:dyDescent="0.35">
      <c r="A18" s="294" t="s">
        <v>634</v>
      </c>
      <c r="B18" s="438"/>
      <c r="C18" s="438" t="s">
        <v>1164</v>
      </c>
      <c r="D18" s="438"/>
      <c r="E18" s="301"/>
      <c r="F18" s="301"/>
      <c r="G18" s="302"/>
      <c r="H18" s="306">
        <v>0</v>
      </c>
      <c r="I18" s="306">
        <v>0</v>
      </c>
      <c r="J18" s="306">
        <v>0</v>
      </c>
      <c r="K18" s="306">
        <v>0</v>
      </c>
      <c r="L18" s="306">
        <v>0</v>
      </c>
      <c r="M18" s="306">
        <v>0</v>
      </c>
      <c r="N18" s="306">
        <v>0</v>
      </c>
      <c r="O18" s="306">
        <v>0</v>
      </c>
      <c r="P18" s="310">
        <f t="shared" si="1"/>
        <v>0</v>
      </c>
      <c r="Q18" s="310">
        <f t="shared" si="1"/>
        <v>0</v>
      </c>
    </row>
    <row r="19" spans="1:23" x14ac:dyDescent="0.35">
      <c r="A19" s="294" t="s">
        <v>636</v>
      </c>
      <c r="B19" s="438"/>
      <c r="C19" s="438" t="s">
        <v>1165</v>
      </c>
      <c r="D19" s="438"/>
      <c r="E19" s="312"/>
      <c r="F19" s="302"/>
      <c r="G19" s="302"/>
      <c r="H19" s="306">
        <v>0</v>
      </c>
      <c r="I19" s="306">
        <v>0</v>
      </c>
      <c r="J19" s="306">
        <v>0</v>
      </c>
      <c r="K19" s="306">
        <v>0</v>
      </c>
      <c r="L19" s="306">
        <v>0</v>
      </c>
      <c r="M19" s="306">
        <v>0</v>
      </c>
      <c r="N19" s="306">
        <v>0</v>
      </c>
      <c r="O19" s="306">
        <v>0</v>
      </c>
      <c r="P19" s="310">
        <f t="shared" si="1"/>
        <v>0</v>
      </c>
      <c r="Q19" s="310">
        <f t="shared" si="1"/>
        <v>0</v>
      </c>
    </row>
    <row r="20" spans="1:23" x14ac:dyDescent="0.35">
      <c r="A20" s="294" t="s">
        <v>638</v>
      </c>
      <c r="B20" s="438"/>
      <c r="C20" s="438" t="s">
        <v>1166</v>
      </c>
      <c r="D20" s="438"/>
      <c r="E20" s="325"/>
      <c r="F20" s="325"/>
      <c r="G20" s="325"/>
      <c r="H20" s="306">
        <v>0</v>
      </c>
      <c r="I20" s="306">
        <v>0</v>
      </c>
      <c r="J20" s="306">
        <v>0</v>
      </c>
      <c r="K20" s="306">
        <v>0</v>
      </c>
      <c r="L20" s="306">
        <v>0</v>
      </c>
      <c r="M20" s="306">
        <v>0</v>
      </c>
      <c r="N20" s="306">
        <v>0</v>
      </c>
      <c r="O20" s="306">
        <v>0</v>
      </c>
      <c r="P20" s="310">
        <f t="shared" si="1"/>
        <v>0</v>
      </c>
      <c r="Q20" s="310">
        <f t="shared" si="1"/>
        <v>0</v>
      </c>
    </row>
    <row r="21" spans="1:23" x14ac:dyDescent="0.35">
      <c r="A21" s="294" t="s">
        <v>703</v>
      </c>
      <c r="B21" s="438"/>
      <c r="C21" s="438" t="s">
        <v>1167</v>
      </c>
      <c r="D21" s="438"/>
      <c r="E21" s="312"/>
      <c r="F21" s="302"/>
      <c r="G21" s="302"/>
      <c r="H21" s="306">
        <v>0</v>
      </c>
      <c r="I21" s="306">
        <v>0</v>
      </c>
      <c r="J21" s="306">
        <v>0</v>
      </c>
      <c r="K21" s="306">
        <v>0</v>
      </c>
      <c r="L21" s="306">
        <v>0</v>
      </c>
      <c r="M21" s="306">
        <v>0</v>
      </c>
      <c r="N21" s="306">
        <v>0</v>
      </c>
      <c r="O21" s="306">
        <v>0</v>
      </c>
      <c r="P21" s="310">
        <f t="shared" si="1"/>
        <v>0</v>
      </c>
      <c r="Q21" s="310">
        <f t="shared" si="1"/>
        <v>0</v>
      </c>
    </row>
    <row r="22" spans="1:23" x14ac:dyDescent="0.35">
      <c r="A22" s="294" t="s">
        <v>705</v>
      </c>
      <c r="B22" s="438"/>
      <c r="C22" s="438" t="s">
        <v>1168</v>
      </c>
      <c r="D22" s="438"/>
      <c r="E22" s="325"/>
      <c r="F22" s="325"/>
      <c r="G22" s="325"/>
      <c r="H22" s="306">
        <v>0</v>
      </c>
      <c r="I22" s="306">
        <v>0</v>
      </c>
      <c r="J22" s="306">
        <v>0</v>
      </c>
      <c r="K22" s="306">
        <v>0</v>
      </c>
      <c r="L22" s="306">
        <v>0</v>
      </c>
      <c r="M22" s="306">
        <v>0</v>
      </c>
      <c r="N22" s="306">
        <v>0</v>
      </c>
      <c r="O22" s="306">
        <v>0</v>
      </c>
      <c r="P22" s="310">
        <f t="shared" si="1"/>
        <v>0</v>
      </c>
      <c r="Q22" s="310">
        <f t="shared" si="1"/>
        <v>0</v>
      </c>
    </row>
    <row r="23" spans="1:23" x14ac:dyDescent="0.35">
      <c r="A23" s="294" t="s">
        <v>784</v>
      </c>
      <c r="B23" s="307" t="s">
        <v>1169</v>
      </c>
      <c r="C23" s="616"/>
      <c r="D23" s="337"/>
      <c r="E23" s="364"/>
      <c r="F23" s="364"/>
      <c r="G23" s="364"/>
      <c r="H23" s="310">
        <f t="shared" ref="H23:Q23" si="2">SUM(H14,H17:H22)</f>
        <v>418</v>
      </c>
      <c r="I23" s="310">
        <f t="shared" si="2"/>
        <v>412</v>
      </c>
      <c r="J23" s="310">
        <f t="shared" si="2"/>
        <v>0</v>
      </c>
      <c r="K23" s="310">
        <f t="shared" si="2"/>
        <v>0</v>
      </c>
      <c r="L23" s="310">
        <f t="shared" si="2"/>
        <v>0</v>
      </c>
      <c r="M23" s="310">
        <f t="shared" si="2"/>
        <v>0</v>
      </c>
      <c r="N23" s="310">
        <f t="shared" si="2"/>
        <v>0</v>
      </c>
      <c r="O23" s="310">
        <f t="shared" si="2"/>
        <v>0</v>
      </c>
      <c r="P23" s="310">
        <f t="shared" si="2"/>
        <v>418</v>
      </c>
      <c r="Q23" s="310">
        <f t="shared" si="2"/>
        <v>412</v>
      </c>
    </row>
    <row r="24" spans="1:23" x14ac:dyDescent="0.35">
      <c r="A24" s="294"/>
      <c r="B24" s="159"/>
      <c r="C24" s="160"/>
      <c r="D24" s="27"/>
      <c r="E24" s="17"/>
      <c r="F24" s="18"/>
      <c r="G24" s="18"/>
      <c r="H24" s="13"/>
      <c r="I24" s="13"/>
      <c r="J24" s="13"/>
      <c r="K24" s="13"/>
      <c r="L24" s="13"/>
      <c r="M24" s="13"/>
      <c r="N24" s="13"/>
      <c r="O24" s="13"/>
      <c r="P24" s="13"/>
      <c r="Q24" s="13"/>
    </row>
    <row r="25" spans="1:23" x14ac:dyDescent="0.35">
      <c r="A25" s="294">
        <v>3</v>
      </c>
      <c r="B25" s="435" t="s">
        <v>1170</v>
      </c>
      <c r="C25" s="609"/>
      <c r="D25" s="610"/>
      <c r="E25" s="611"/>
      <c r="F25" s="612"/>
      <c r="G25" s="612"/>
      <c r="H25" s="613"/>
      <c r="I25" s="613"/>
      <c r="J25" s="613"/>
      <c r="K25" s="613"/>
      <c r="L25" s="613"/>
      <c r="M25" s="613"/>
      <c r="N25" s="613"/>
      <c r="O25" s="613"/>
      <c r="P25" s="617"/>
      <c r="Q25" s="617"/>
    </row>
    <row r="26" spans="1:23" x14ac:dyDescent="0.35">
      <c r="A26" s="294" t="s">
        <v>123</v>
      </c>
      <c r="B26" s="573"/>
      <c r="C26" s="438" t="s">
        <v>1171</v>
      </c>
      <c r="D26" s="438"/>
      <c r="E26" s="312"/>
      <c r="F26" s="302"/>
      <c r="G26" s="302"/>
      <c r="H26" s="306">
        <v>0</v>
      </c>
      <c r="I26" s="306">
        <v>0</v>
      </c>
      <c r="J26" s="306">
        <v>0</v>
      </c>
      <c r="K26" s="306">
        <v>0</v>
      </c>
      <c r="L26" s="306">
        <v>0</v>
      </c>
      <c r="M26" s="306">
        <v>0</v>
      </c>
      <c r="N26" s="306">
        <v>0</v>
      </c>
      <c r="O26" s="306">
        <v>0</v>
      </c>
      <c r="P26" s="310">
        <f t="shared" ref="P26:Q29" si="3">SUM(H26+J26+L26+N26)</f>
        <v>0</v>
      </c>
      <c r="Q26" s="310">
        <f t="shared" si="3"/>
        <v>0</v>
      </c>
    </row>
    <row r="27" spans="1:23" x14ac:dyDescent="0.35">
      <c r="A27" s="294" t="s">
        <v>709</v>
      </c>
      <c r="B27" s="573"/>
      <c r="C27" s="438" t="s">
        <v>1172</v>
      </c>
      <c r="D27" s="438"/>
      <c r="E27" s="618"/>
      <c r="F27" s="302"/>
      <c r="G27" s="302"/>
      <c r="H27" s="306">
        <v>0</v>
      </c>
      <c r="I27" s="306">
        <v>0</v>
      </c>
      <c r="J27" s="306">
        <v>0</v>
      </c>
      <c r="K27" s="306">
        <v>0</v>
      </c>
      <c r="L27" s="306">
        <v>0</v>
      </c>
      <c r="M27" s="306">
        <v>0</v>
      </c>
      <c r="N27" s="306">
        <v>0</v>
      </c>
      <c r="O27" s="306">
        <v>0</v>
      </c>
      <c r="P27" s="310">
        <f t="shared" si="3"/>
        <v>0</v>
      </c>
      <c r="Q27" s="310">
        <f t="shared" si="3"/>
        <v>0</v>
      </c>
    </row>
    <row r="28" spans="1:23" ht="12.5" x14ac:dyDescent="0.25">
      <c r="A28" s="294" t="s">
        <v>711</v>
      </c>
      <c r="B28" s="573"/>
      <c r="C28" s="438" t="s">
        <v>1173</v>
      </c>
      <c r="D28" s="438"/>
      <c r="E28" s="312"/>
      <c r="F28" s="302"/>
      <c r="G28" s="302"/>
      <c r="H28" s="306">
        <v>8</v>
      </c>
      <c r="I28" s="306">
        <v>10</v>
      </c>
      <c r="J28" s="306">
        <v>0</v>
      </c>
      <c r="K28" s="306">
        <v>0</v>
      </c>
      <c r="L28" s="306">
        <v>0</v>
      </c>
      <c r="M28" s="306">
        <v>0</v>
      </c>
      <c r="N28" s="306">
        <v>0</v>
      </c>
      <c r="O28" s="306">
        <v>0</v>
      </c>
      <c r="P28" s="310">
        <f t="shared" si="3"/>
        <v>8</v>
      </c>
      <c r="Q28" s="310">
        <f t="shared" si="3"/>
        <v>10</v>
      </c>
      <c r="R28" s="52" t="s">
        <v>1174</v>
      </c>
      <c r="S28" s="78"/>
      <c r="T28" s="27"/>
      <c r="U28" s="27"/>
      <c r="V28" s="27"/>
      <c r="W28" s="27"/>
    </row>
    <row r="29" spans="1:23" ht="13" x14ac:dyDescent="0.3">
      <c r="A29" s="294" t="s">
        <v>713</v>
      </c>
      <c r="B29" s="573"/>
      <c r="C29" s="438" t="s">
        <v>1170</v>
      </c>
      <c r="D29" s="438"/>
      <c r="E29" s="619"/>
      <c r="F29" s="325"/>
      <c r="G29" s="325"/>
      <c r="H29" s="306">
        <v>0</v>
      </c>
      <c r="I29" s="306">
        <v>0</v>
      </c>
      <c r="J29" s="306">
        <v>0</v>
      </c>
      <c r="K29" s="306">
        <v>0</v>
      </c>
      <c r="L29" s="306">
        <v>0</v>
      </c>
      <c r="M29" s="306">
        <v>0</v>
      </c>
      <c r="N29" s="306">
        <v>0</v>
      </c>
      <c r="O29" s="306">
        <v>0</v>
      </c>
      <c r="P29" s="310">
        <f t="shared" si="3"/>
        <v>0</v>
      </c>
      <c r="Q29" s="310">
        <f t="shared" si="3"/>
        <v>0</v>
      </c>
      <c r="R29" s="620"/>
      <c r="S29" s="621"/>
    </row>
    <row r="30" spans="1:23" ht="13" x14ac:dyDescent="0.3">
      <c r="A30" s="294" t="s">
        <v>715</v>
      </c>
      <c r="B30" s="582" t="s">
        <v>1175</v>
      </c>
      <c r="C30" s="363"/>
      <c r="D30" s="337"/>
      <c r="E30" s="364"/>
      <c r="F30" s="364"/>
      <c r="G30" s="364"/>
      <c r="H30" s="310">
        <f t="shared" ref="H30:Q30" si="4">SUM(H26:H29)</f>
        <v>8</v>
      </c>
      <c r="I30" s="310">
        <f t="shared" si="4"/>
        <v>10</v>
      </c>
      <c r="J30" s="310">
        <f t="shared" si="4"/>
        <v>0</v>
      </c>
      <c r="K30" s="310">
        <f t="shared" si="4"/>
        <v>0</v>
      </c>
      <c r="L30" s="310">
        <f t="shared" si="4"/>
        <v>0</v>
      </c>
      <c r="M30" s="310">
        <f t="shared" si="4"/>
        <v>0</v>
      </c>
      <c r="N30" s="310">
        <f t="shared" si="4"/>
        <v>0</v>
      </c>
      <c r="O30" s="310">
        <f t="shared" si="4"/>
        <v>0</v>
      </c>
      <c r="P30" s="310">
        <f t="shared" si="4"/>
        <v>8</v>
      </c>
      <c r="Q30" s="310">
        <f t="shared" si="4"/>
        <v>10</v>
      </c>
      <c r="R30" s="78"/>
      <c r="S30" s="78"/>
    </row>
    <row r="31" spans="1:23" ht="13" x14ac:dyDescent="0.3">
      <c r="A31" s="294"/>
      <c r="B31" s="159"/>
      <c r="C31" s="5"/>
      <c r="D31" s="27"/>
      <c r="E31" s="17"/>
      <c r="F31" s="18"/>
      <c r="G31" s="18"/>
      <c r="H31" s="13"/>
      <c r="I31" s="13"/>
      <c r="J31" s="13"/>
      <c r="K31" s="13"/>
      <c r="L31" s="13"/>
      <c r="M31" s="13"/>
      <c r="N31" s="13"/>
      <c r="O31" s="13"/>
      <c r="P31" s="13"/>
      <c r="Q31" s="13"/>
      <c r="R31" s="78"/>
      <c r="S31" s="78"/>
    </row>
    <row r="32" spans="1:23" ht="13" x14ac:dyDescent="0.3">
      <c r="A32" s="294">
        <v>4</v>
      </c>
      <c r="B32" s="435" t="s">
        <v>1176</v>
      </c>
      <c r="C32" s="609"/>
      <c r="D32" s="610"/>
      <c r="E32" s="611"/>
      <c r="F32" s="612"/>
      <c r="G32" s="612"/>
      <c r="H32" s="613"/>
      <c r="I32" s="613"/>
      <c r="J32" s="613"/>
      <c r="K32" s="613"/>
      <c r="L32" s="613"/>
      <c r="M32" s="613"/>
      <c r="N32" s="613"/>
      <c r="O32" s="613"/>
      <c r="P32" s="617"/>
      <c r="Q32" s="617"/>
      <c r="R32" s="78"/>
      <c r="S32" s="78"/>
    </row>
    <row r="33" spans="1:27" ht="12.5" x14ac:dyDescent="0.25">
      <c r="A33" s="294" t="s">
        <v>770</v>
      </c>
      <c r="B33" s="573"/>
      <c r="C33" s="438" t="s">
        <v>1177</v>
      </c>
      <c r="D33" s="438"/>
      <c r="E33" s="302"/>
      <c r="F33" s="302"/>
      <c r="G33" s="302"/>
      <c r="H33" s="306">
        <v>0</v>
      </c>
      <c r="I33" s="306">
        <v>0</v>
      </c>
      <c r="J33" s="306">
        <v>0</v>
      </c>
      <c r="K33" s="306">
        <v>0</v>
      </c>
      <c r="L33" s="306">
        <v>0</v>
      </c>
      <c r="M33" s="306">
        <v>0</v>
      </c>
      <c r="N33" s="306">
        <v>0</v>
      </c>
      <c r="O33" s="306">
        <v>0</v>
      </c>
      <c r="P33" s="310">
        <f t="shared" ref="P33:Q35" si="5">SUM(H33+J33+L33+N33)</f>
        <v>0</v>
      </c>
      <c r="Q33" s="310">
        <f t="shared" si="5"/>
        <v>0</v>
      </c>
      <c r="R33" s="78"/>
      <c r="S33" s="78"/>
    </row>
    <row r="34" spans="1:27" ht="12.5" x14ac:dyDescent="0.25">
      <c r="A34" s="294" t="s">
        <v>1000</v>
      </c>
      <c r="B34" s="573"/>
      <c r="C34" s="438" t="s">
        <v>1178</v>
      </c>
      <c r="D34" s="438"/>
      <c r="E34" s="302"/>
      <c r="F34" s="302"/>
      <c r="G34" s="302"/>
      <c r="H34" s="306">
        <v>0</v>
      </c>
      <c r="I34" s="306">
        <v>0</v>
      </c>
      <c r="J34" s="306">
        <v>0</v>
      </c>
      <c r="K34" s="306">
        <v>0</v>
      </c>
      <c r="L34" s="306">
        <v>0</v>
      </c>
      <c r="M34" s="306">
        <v>0</v>
      </c>
      <c r="N34" s="306">
        <v>0</v>
      </c>
      <c r="O34" s="306">
        <v>0</v>
      </c>
      <c r="P34" s="310">
        <f t="shared" si="5"/>
        <v>0</v>
      </c>
      <c r="Q34" s="310">
        <f t="shared" si="5"/>
        <v>0</v>
      </c>
      <c r="R34" s="78" t="s">
        <v>1179</v>
      </c>
      <c r="S34" s="78"/>
    </row>
    <row r="35" spans="1:27" ht="12.5" x14ac:dyDescent="0.25">
      <c r="A35" s="294" t="s">
        <v>1002</v>
      </c>
      <c r="B35" s="573"/>
      <c r="C35" s="438" t="s">
        <v>1180</v>
      </c>
      <c r="D35" s="438"/>
      <c r="E35" s="302"/>
      <c r="F35" s="302"/>
      <c r="G35" s="302"/>
      <c r="H35" s="306">
        <v>0</v>
      </c>
      <c r="I35" s="306">
        <v>0</v>
      </c>
      <c r="J35" s="306">
        <v>0</v>
      </c>
      <c r="K35" s="306">
        <v>0</v>
      </c>
      <c r="L35" s="306">
        <v>0</v>
      </c>
      <c r="M35" s="306">
        <v>0</v>
      </c>
      <c r="N35" s="306">
        <v>0</v>
      </c>
      <c r="O35" s="306">
        <v>0</v>
      </c>
      <c r="P35" s="310">
        <f t="shared" si="5"/>
        <v>0</v>
      </c>
      <c r="Q35" s="310">
        <f t="shared" si="5"/>
        <v>0</v>
      </c>
      <c r="R35" s="620"/>
      <c r="S35" s="621"/>
    </row>
    <row r="36" spans="1:27" x14ac:dyDescent="0.35">
      <c r="A36" s="294" t="s">
        <v>1038</v>
      </c>
      <c r="B36" s="307" t="s">
        <v>1181</v>
      </c>
      <c r="C36" s="616"/>
      <c r="D36" s="417"/>
      <c r="E36" s="622"/>
      <c r="F36" s="622"/>
      <c r="G36" s="622"/>
      <c r="H36" s="310">
        <f t="shared" ref="H36:Q36" si="6">SUM(H33:H35)</f>
        <v>0</v>
      </c>
      <c r="I36" s="310">
        <f t="shared" si="6"/>
        <v>0</v>
      </c>
      <c r="J36" s="310">
        <f t="shared" si="6"/>
        <v>0</v>
      </c>
      <c r="K36" s="310">
        <f t="shared" si="6"/>
        <v>0</v>
      </c>
      <c r="L36" s="310">
        <f t="shared" si="6"/>
        <v>0</v>
      </c>
      <c r="M36" s="310">
        <f t="shared" si="6"/>
        <v>0</v>
      </c>
      <c r="N36" s="310">
        <f t="shared" si="6"/>
        <v>0</v>
      </c>
      <c r="O36" s="310">
        <f t="shared" si="6"/>
        <v>0</v>
      </c>
      <c r="P36" s="310">
        <f t="shared" si="6"/>
        <v>0</v>
      </c>
      <c r="Q36" s="310">
        <f t="shared" si="6"/>
        <v>0</v>
      </c>
    </row>
    <row r="37" spans="1:27" x14ac:dyDescent="0.35">
      <c r="A37" s="294"/>
      <c r="B37" s="159"/>
      <c r="C37" s="5"/>
      <c r="D37" s="27"/>
      <c r="E37" s="17"/>
      <c r="F37" s="18"/>
      <c r="G37" s="18"/>
      <c r="H37" s="13"/>
      <c r="I37" s="13"/>
      <c r="J37" s="13"/>
      <c r="K37" s="13"/>
      <c r="L37" s="13"/>
      <c r="M37" s="13"/>
      <c r="N37" s="13"/>
      <c r="O37" s="13"/>
      <c r="P37" s="13"/>
      <c r="Q37" s="13"/>
    </row>
    <row r="38" spans="1:27" ht="13" x14ac:dyDescent="0.3">
      <c r="A38" s="294">
        <v>5</v>
      </c>
      <c r="B38" s="435" t="s">
        <v>1182</v>
      </c>
      <c r="C38" s="609"/>
      <c r="D38" s="610"/>
      <c r="E38" s="611"/>
      <c r="F38" s="612"/>
      <c r="G38" s="612"/>
      <c r="H38" s="613"/>
      <c r="I38" s="613"/>
      <c r="J38" s="613"/>
      <c r="K38" s="613"/>
      <c r="L38" s="613"/>
      <c r="M38" s="613"/>
      <c r="N38" s="613"/>
      <c r="O38" s="613"/>
      <c r="P38" s="617"/>
      <c r="Q38" s="617"/>
      <c r="R38" s="78"/>
      <c r="S38" s="78"/>
    </row>
    <row r="39" spans="1:27" ht="12.5" x14ac:dyDescent="0.25">
      <c r="A39" s="294" t="s">
        <v>1102</v>
      </c>
      <c r="B39" s="573"/>
      <c r="C39" s="438" t="s">
        <v>1183</v>
      </c>
      <c r="D39" s="438"/>
      <c r="E39" s="302"/>
      <c r="F39" s="302"/>
      <c r="G39" s="302"/>
      <c r="H39" s="306">
        <v>0</v>
      </c>
      <c r="I39" s="306">
        <v>0</v>
      </c>
      <c r="J39" s="306">
        <v>0</v>
      </c>
      <c r="K39" s="306">
        <v>0</v>
      </c>
      <c r="L39" s="306">
        <v>0</v>
      </c>
      <c r="M39" s="306">
        <v>0</v>
      </c>
      <c r="N39" s="306">
        <v>0</v>
      </c>
      <c r="O39" s="306">
        <v>0</v>
      </c>
      <c r="P39" s="310">
        <f t="shared" ref="P39:Q42" si="7">SUM(H39+J39+L39+N39)</f>
        <v>0</v>
      </c>
      <c r="Q39" s="310">
        <f t="shared" si="7"/>
        <v>0</v>
      </c>
      <c r="R39" s="78"/>
      <c r="S39" s="78"/>
    </row>
    <row r="40" spans="1:27" ht="12.5" x14ac:dyDescent="0.25">
      <c r="A40" s="294" t="s">
        <v>1103</v>
      </c>
      <c r="B40" s="573"/>
      <c r="C40" s="438" t="s">
        <v>1184</v>
      </c>
      <c r="D40" s="438"/>
      <c r="E40" s="302"/>
      <c r="F40" s="302"/>
      <c r="G40" s="302"/>
      <c r="H40" s="306">
        <v>0</v>
      </c>
      <c r="I40" s="306">
        <v>0</v>
      </c>
      <c r="J40" s="306">
        <v>0</v>
      </c>
      <c r="K40" s="306">
        <v>0</v>
      </c>
      <c r="L40" s="306">
        <v>0</v>
      </c>
      <c r="M40" s="306">
        <v>0</v>
      </c>
      <c r="N40" s="306">
        <v>0</v>
      </c>
      <c r="O40" s="306">
        <v>0</v>
      </c>
      <c r="P40" s="310">
        <f t="shared" si="7"/>
        <v>0</v>
      </c>
      <c r="Q40" s="310">
        <f t="shared" si="7"/>
        <v>0</v>
      </c>
      <c r="R40" s="78"/>
      <c r="S40" s="78"/>
    </row>
    <row r="41" spans="1:27" ht="12.5" x14ac:dyDescent="0.25">
      <c r="A41" s="294" t="s">
        <v>1105</v>
      </c>
      <c r="B41" s="573"/>
      <c r="C41" s="438" t="s">
        <v>1185</v>
      </c>
      <c r="D41" s="438"/>
      <c r="E41" s="302"/>
      <c r="F41" s="302"/>
      <c r="G41" s="302"/>
      <c r="H41" s="306">
        <v>0</v>
      </c>
      <c r="I41" s="306">
        <v>0</v>
      </c>
      <c r="J41" s="306">
        <v>0</v>
      </c>
      <c r="K41" s="306">
        <v>0</v>
      </c>
      <c r="L41" s="306">
        <v>0</v>
      </c>
      <c r="M41" s="306">
        <v>0</v>
      </c>
      <c r="N41" s="306">
        <v>0</v>
      </c>
      <c r="O41" s="306">
        <v>0</v>
      </c>
      <c r="P41" s="310">
        <f t="shared" si="7"/>
        <v>0</v>
      </c>
      <c r="Q41" s="310">
        <f t="shared" si="7"/>
        <v>0</v>
      </c>
      <c r="R41" s="78" t="s">
        <v>1186</v>
      </c>
      <c r="S41" s="78"/>
    </row>
    <row r="42" spans="1:27" ht="12.5" x14ac:dyDescent="0.25">
      <c r="A42" s="294" t="s">
        <v>1187</v>
      </c>
      <c r="B42" s="573"/>
      <c r="C42" s="441" t="s">
        <v>1182</v>
      </c>
      <c r="D42" s="438"/>
      <c r="E42" s="302"/>
      <c r="F42" s="302"/>
      <c r="G42" s="302"/>
      <c r="H42" s="306">
        <v>0</v>
      </c>
      <c r="I42" s="306">
        <v>0</v>
      </c>
      <c r="J42" s="306">
        <v>0</v>
      </c>
      <c r="K42" s="306">
        <v>0</v>
      </c>
      <c r="L42" s="306">
        <v>0</v>
      </c>
      <c r="M42" s="306">
        <v>0</v>
      </c>
      <c r="N42" s="306">
        <v>0</v>
      </c>
      <c r="O42" s="306">
        <v>0</v>
      </c>
      <c r="P42" s="310">
        <f t="shared" si="7"/>
        <v>0</v>
      </c>
      <c r="Q42" s="310">
        <f t="shared" si="7"/>
        <v>0</v>
      </c>
      <c r="R42" s="620"/>
      <c r="S42" s="621"/>
    </row>
    <row r="43" spans="1:27" x14ac:dyDescent="0.35">
      <c r="A43" s="294" t="s">
        <v>1188</v>
      </c>
      <c r="B43" s="307" t="s">
        <v>1189</v>
      </c>
      <c r="C43" s="616"/>
      <c r="D43" s="417"/>
      <c r="E43" s="622"/>
      <c r="F43" s="622"/>
      <c r="G43" s="622"/>
      <c r="H43" s="310">
        <f t="shared" ref="H43:Q43" si="8">SUM(H39:H42)</f>
        <v>0</v>
      </c>
      <c r="I43" s="310">
        <f t="shared" si="8"/>
        <v>0</v>
      </c>
      <c r="J43" s="310">
        <f t="shared" si="8"/>
        <v>0</v>
      </c>
      <c r="K43" s="310">
        <f t="shared" si="8"/>
        <v>0</v>
      </c>
      <c r="L43" s="310">
        <f t="shared" si="8"/>
        <v>0</v>
      </c>
      <c r="M43" s="310">
        <f t="shared" si="8"/>
        <v>0</v>
      </c>
      <c r="N43" s="310">
        <f t="shared" si="8"/>
        <v>0</v>
      </c>
      <c r="O43" s="310">
        <f t="shared" si="8"/>
        <v>0</v>
      </c>
      <c r="P43" s="310">
        <f t="shared" si="8"/>
        <v>0</v>
      </c>
      <c r="Q43" s="310">
        <f t="shared" si="8"/>
        <v>0</v>
      </c>
    </row>
    <row r="44" spans="1:27" x14ac:dyDescent="0.35">
      <c r="A44" s="294"/>
      <c r="B44" s="159"/>
      <c r="C44" s="5"/>
      <c r="D44" s="27"/>
      <c r="E44" s="17"/>
      <c r="F44" s="18"/>
      <c r="G44" s="18"/>
      <c r="H44" s="13"/>
      <c r="I44" s="13"/>
      <c r="J44" s="13"/>
      <c r="K44" s="13"/>
      <c r="L44" s="13"/>
      <c r="M44" s="13"/>
      <c r="N44" s="13"/>
      <c r="O44" s="13"/>
      <c r="P44" s="13"/>
      <c r="Q44" s="13"/>
    </row>
    <row r="45" spans="1:27" x14ac:dyDescent="0.35">
      <c r="A45" s="294">
        <v>6</v>
      </c>
      <c r="B45" s="307" t="s">
        <v>1190</v>
      </c>
      <c r="C45" s="616"/>
      <c r="D45" s="337"/>
      <c r="E45" s="364"/>
      <c r="F45" s="364"/>
      <c r="G45" s="364"/>
      <c r="H45" s="310">
        <f t="shared" ref="H45:Q45" si="9">SUM(H23+H30+H36+H43)</f>
        <v>426</v>
      </c>
      <c r="I45" s="310">
        <f t="shared" si="9"/>
        <v>422</v>
      </c>
      <c r="J45" s="310">
        <f t="shared" si="9"/>
        <v>0</v>
      </c>
      <c r="K45" s="310">
        <f t="shared" si="9"/>
        <v>0</v>
      </c>
      <c r="L45" s="310">
        <f t="shared" si="9"/>
        <v>0</v>
      </c>
      <c r="M45" s="310">
        <f t="shared" si="9"/>
        <v>0</v>
      </c>
      <c r="N45" s="310">
        <f t="shared" si="9"/>
        <v>0</v>
      </c>
      <c r="O45" s="310">
        <f t="shared" si="9"/>
        <v>0</v>
      </c>
      <c r="P45" s="310">
        <f t="shared" si="9"/>
        <v>426</v>
      </c>
      <c r="Q45" s="310">
        <f t="shared" si="9"/>
        <v>422</v>
      </c>
    </row>
    <row r="46" spans="1:27" x14ac:dyDescent="0.35">
      <c r="A46" s="294"/>
      <c r="B46" s="311"/>
      <c r="C46" s="623"/>
      <c r="D46" s="312"/>
      <c r="E46" s="302"/>
      <c r="F46" s="302"/>
      <c r="G46" s="302"/>
      <c r="H46" s="624"/>
      <c r="I46" s="624"/>
      <c r="J46" s="624"/>
      <c r="K46" s="624"/>
      <c r="L46" s="624"/>
      <c r="M46" s="624"/>
      <c r="N46" s="624"/>
      <c r="O46" s="624"/>
      <c r="P46" s="624"/>
      <c r="Q46" s="625"/>
    </row>
    <row r="47" spans="1:27" ht="12.5" x14ac:dyDescent="0.25">
      <c r="A47" s="294">
        <v>7</v>
      </c>
      <c r="B47" s="438" t="s">
        <v>1191</v>
      </c>
      <c r="C47" s="557"/>
      <c r="D47" s="438"/>
      <c r="E47" s="573"/>
      <c r="F47" s="557"/>
      <c r="G47" s="438"/>
      <c r="H47" s="306" t="s">
        <v>100</v>
      </c>
      <c r="I47" s="306" t="s">
        <v>100</v>
      </c>
      <c r="J47" s="306" t="s">
        <v>101</v>
      </c>
      <c r="K47" s="306" t="s">
        <v>101</v>
      </c>
      <c r="L47" s="306" t="s">
        <v>101</v>
      </c>
      <c r="M47" s="306" t="s">
        <v>101</v>
      </c>
      <c r="N47" s="306" t="s">
        <v>101</v>
      </c>
      <c r="O47" s="306" t="s">
        <v>101</v>
      </c>
      <c r="P47" s="720" t="s">
        <v>1154</v>
      </c>
      <c r="Q47" s="721"/>
      <c r="R47" s="85"/>
      <c r="S47" s="85"/>
      <c r="T47" s="626">
        <f t="shared" ref="T47:AA48" si="10">IF(H47="Yes",1,0)</f>
        <v>1</v>
      </c>
      <c r="U47" s="626">
        <f t="shared" si="10"/>
        <v>1</v>
      </c>
      <c r="V47" s="626">
        <f t="shared" si="10"/>
        <v>0</v>
      </c>
      <c r="W47" s="626">
        <f t="shared" si="10"/>
        <v>0</v>
      </c>
      <c r="X47" s="626">
        <f t="shared" si="10"/>
        <v>0</v>
      </c>
      <c r="Y47" s="626">
        <f t="shared" si="10"/>
        <v>0</v>
      </c>
      <c r="Z47" s="626">
        <f t="shared" si="10"/>
        <v>0</v>
      </c>
      <c r="AA47" s="626">
        <f t="shared" si="10"/>
        <v>0</v>
      </c>
    </row>
    <row r="48" spans="1:27" x14ac:dyDescent="0.35">
      <c r="A48" s="294">
        <v>8</v>
      </c>
      <c r="B48" s="438" t="s">
        <v>1192</v>
      </c>
      <c r="C48" s="557"/>
      <c r="D48" s="438"/>
      <c r="E48" s="573"/>
      <c r="F48" s="557"/>
      <c r="G48" s="438"/>
      <c r="H48" s="306" t="s">
        <v>101</v>
      </c>
      <c r="I48" s="306" t="s">
        <v>101</v>
      </c>
      <c r="J48" s="306" t="s">
        <v>101</v>
      </c>
      <c r="K48" s="306" t="s">
        <v>101</v>
      </c>
      <c r="L48" s="306" t="s">
        <v>101</v>
      </c>
      <c r="M48" s="306" t="s">
        <v>101</v>
      </c>
      <c r="N48" s="306" t="s">
        <v>101</v>
      </c>
      <c r="O48" s="306" t="s">
        <v>101</v>
      </c>
      <c r="P48" s="720" t="s">
        <v>1154</v>
      </c>
      <c r="Q48" s="721"/>
      <c r="T48" s="626">
        <f t="shared" si="10"/>
        <v>0</v>
      </c>
      <c r="U48" s="626">
        <f t="shared" si="10"/>
        <v>0</v>
      </c>
      <c r="V48" s="626">
        <f t="shared" si="10"/>
        <v>0</v>
      </c>
      <c r="W48" s="626">
        <f t="shared" si="10"/>
        <v>0</v>
      </c>
      <c r="X48" s="626">
        <f t="shared" si="10"/>
        <v>0</v>
      </c>
      <c r="Y48" s="626">
        <f t="shared" si="10"/>
        <v>0</v>
      </c>
      <c r="Z48" s="626">
        <f t="shared" si="10"/>
        <v>0</v>
      </c>
      <c r="AA48" s="626">
        <f t="shared" si="10"/>
        <v>0</v>
      </c>
    </row>
    <row r="49" spans="1:29" x14ac:dyDescent="0.35">
      <c r="A49" s="627"/>
      <c r="B49" s="311"/>
      <c r="C49" s="623"/>
      <c r="D49" s="312"/>
      <c r="E49" s="302"/>
      <c r="F49" s="302"/>
      <c r="G49" s="302"/>
      <c r="H49" s="624"/>
      <c r="I49" s="624"/>
      <c r="J49" s="624"/>
      <c r="K49" s="624"/>
      <c r="L49" s="624"/>
      <c r="M49" s="624"/>
      <c r="N49" s="624"/>
      <c r="O49" s="624"/>
      <c r="P49" s="624"/>
      <c r="Q49" s="625"/>
    </row>
    <row r="50" spans="1:29" customFormat="1" ht="104.25" customHeight="1" x14ac:dyDescent="0.35">
      <c r="A50" s="628">
        <v>9</v>
      </c>
      <c r="B50" s="722" t="s">
        <v>1193</v>
      </c>
      <c r="C50" s="723"/>
      <c r="D50" s="629"/>
      <c r="E50" s="629"/>
      <c r="F50" s="629"/>
      <c r="G50" s="629"/>
      <c r="H50" s="724" t="s">
        <v>1194</v>
      </c>
      <c r="I50" s="725"/>
      <c r="J50" s="725"/>
      <c r="K50" s="725"/>
      <c r="L50" s="725"/>
      <c r="M50" s="725"/>
      <c r="N50" s="725"/>
      <c r="O50" s="725"/>
      <c r="P50" s="725"/>
      <c r="Q50" s="726"/>
      <c r="AC50" s="626">
        <f>IF(OR(H50="Text box", H50=""),0,1)</f>
        <v>0</v>
      </c>
    </row>
    <row r="51" spans="1:29" customFormat="1" ht="14.25" customHeight="1" x14ac:dyDescent="0.35">
      <c r="A51" s="127"/>
      <c r="B51" s="161"/>
      <c r="C51" s="161"/>
      <c r="D51" s="93"/>
      <c r="E51" s="161"/>
      <c r="F51" s="161"/>
      <c r="G51" s="93"/>
      <c r="H51" s="64"/>
      <c r="I51" s="64"/>
      <c r="J51" s="64"/>
      <c r="K51" s="64"/>
      <c r="L51" s="64"/>
      <c r="M51" s="64"/>
      <c r="N51" s="64"/>
      <c r="O51" s="64"/>
      <c r="P51" s="64"/>
      <c r="Q51" s="64"/>
    </row>
    <row r="52" spans="1:29" x14ac:dyDescent="0.35">
      <c r="A52" s="294">
        <v>10</v>
      </c>
      <c r="B52" s="630" t="s">
        <v>1195</v>
      </c>
      <c r="C52" s="631"/>
      <c r="D52" s="632"/>
      <c r="E52" s="632"/>
      <c r="F52" s="632"/>
      <c r="G52" s="632"/>
      <c r="H52" s="613"/>
      <c r="I52" s="613"/>
      <c r="J52" s="613"/>
      <c r="K52" s="613"/>
      <c r="L52" s="613"/>
      <c r="M52" s="613"/>
      <c r="N52" s="613"/>
      <c r="O52" s="613"/>
      <c r="P52" s="27"/>
      <c r="Q52" s="27"/>
    </row>
    <row r="53" spans="1:29" x14ac:dyDescent="0.35">
      <c r="A53" s="294"/>
      <c r="B53" s="716" t="s">
        <v>1196</v>
      </c>
      <c r="C53" s="717"/>
      <c r="D53" s="717"/>
      <c r="E53" s="717"/>
      <c r="F53" s="717"/>
      <c r="G53" s="717"/>
      <c r="H53" s="717"/>
      <c r="I53" s="718"/>
      <c r="J53" s="718"/>
      <c r="K53" s="718"/>
      <c r="L53" s="718"/>
      <c r="M53" s="718"/>
      <c r="N53" s="718"/>
      <c r="O53" s="719"/>
      <c r="P53" s="27"/>
      <c r="Q53" s="27"/>
    </row>
    <row r="54" spans="1:29" x14ac:dyDescent="0.35">
      <c r="A54" s="294" t="s">
        <v>745</v>
      </c>
      <c r="B54" s="573"/>
      <c r="C54" s="7" t="s">
        <v>1197</v>
      </c>
      <c r="D54" s="7"/>
      <c r="E54" s="7"/>
      <c r="F54" s="7"/>
      <c r="G54" s="7"/>
      <c r="H54" s="633">
        <v>8.6999999999999993</v>
      </c>
      <c r="I54" s="633">
        <v>8.5</v>
      </c>
      <c r="J54" s="633">
        <v>0</v>
      </c>
      <c r="K54" s="633">
        <v>0</v>
      </c>
      <c r="L54" s="633">
        <v>0</v>
      </c>
      <c r="M54" s="633">
        <v>0</v>
      </c>
      <c r="N54" s="633">
        <v>0</v>
      </c>
      <c r="O54" s="633">
        <v>0</v>
      </c>
    </row>
    <row r="55" spans="1:29" x14ac:dyDescent="0.35">
      <c r="A55" s="294" t="s">
        <v>747</v>
      </c>
      <c r="B55" s="573"/>
      <c r="C55" s="7" t="s">
        <v>1198</v>
      </c>
      <c r="D55" s="7"/>
      <c r="E55" s="7"/>
      <c r="F55" s="7"/>
      <c r="G55" s="7"/>
      <c r="H55" s="633">
        <v>9.9</v>
      </c>
      <c r="I55" s="633">
        <v>10.1</v>
      </c>
      <c r="J55" s="633">
        <v>0</v>
      </c>
      <c r="K55" s="633">
        <v>0</v>
      </c>
      <c r="L55" s="633">
        <v>0</v>
      </c>
      <c r="M55" s="633">
        <v>0</v>
      </c>
      <c r="N55" s="633">
        <v>0</v>
      </c>
      <c r="O55" s="633">
        <v>0</v>
      </c>
    </row>
    <row r="56" spans="1:29" x14ac:dyDescent="0.35">
      <c r="A56" s="127"/>
      <c r="B56" s="161"/>
      <c r="C56" s="161"/>
      <c r="D56" s="64"/>
      <c r="E56" s="64"/>
      <c r="F56" s="64"/>
      <c r="G56" s="64"/>
      <c r="H56" s="64"/>
      <c r="I56" s="27"/>
      <c r="J56" s="27"/>
      <c r="K56" s="27"/>
      <c r="L56" s="27"/>
      <c r="M56" s="27"/>
      <c r="N56" s="27"/>
      <c r="O56" s="27"/>
      <c r="P56" s="27"/>
      <c r="Q56" s="27"/>
    </row>
  </sheetData>
  <sheetProtection algorithmName="SHA-512" hashValue="b+Vqh9M0ji9Y/1uwYI3upzYQ4NkUMbgLqiFxQ2JTITmjMAs3ruGVPxgY2Bk7kzC5DN3Evsve9ZRLJBlA8dhokg==" saltValue="8wsqYVGlCGIksx7mH3ClWA==" spinCount="100000" sheet="1" objects="1"/>
  <mergeCells count="35">
    <mergeCell ref="B1:G1"/>
    <mergeCell ref="H1:L2"/>
    <mergeCell ref="A2:E2"/>
    <mergeCell ref="B3:C3"/>
    <mergeCell ref="H3:I3"/>
    <mergeCell ref="J3:K3"/>
    <mergeCell ref="L3:M3"/>
    <mergeCell ref="Z3:AA3"/>
    <mergeCell ref="B4:C4"/>
    <mergeCell ref="H6:I6"/>
    <mergeCell ref="J6:K6"/>
    <mergeCell ref="L6:M6"/>
    <mergeCell ref="N6:O6"/>
    <mergeCell ref="P6:Q6"/>
    <mergeCell ref="N3:O3"/>
    <mergeCell ref="P3:Q3"/>
    <mergeCell ref="T3:U3"/>
    <mergeCell ref="V3:W3"/>
    <mergeCell ref="X3:Y3"/>
    <mergeCell ref="H7:I7"/>
    <mergeCell ref="J7:K7"/>
    <mergeCell ref="L7:M7"/>
    <mergeCell ref="N7:O7"/>
    <mergeCell ref="P7:Q7"/>
    <mergeCell ref="H8:I8"/>
    <mergeCell ref="J8:K8"/>
    <mergeCell ref="L8:M8"/>
    <mergeCell ref="N8:O8"/>
    <mergeCell ref="P8:Q8"/>
    <mergeCell ref="B53:O53"/>
    <mergeCell ref="P11:Q11"/>
    <mergeCell ref="P47:Q47"/>
    <mergeCell ref="P48:Q48"/>
    <mergeCell ref="B50:C50"/>
    <mergeCell ref="H50:Q50"/>
  </mergeCells>
  <dataValidations count="4">
    <dataValidation type="whole" operator="greaterThan" allowBlank="1" showInputMessage="1" showErrorMessage="1" errorTitle="Whole numbers only allowed" error="All monies should be independently rounded to the nearest £1,000." sqref="H11:O12 H14:O15 H17:O22 H26:O29 H33:O35 H39:O42" xr:uid="{00000000-0002-0000-1100-000000000000}">
      <formula1>-99999999</formula1>
    </dataValidation>
    <dataValidation type="decimal" operator="greaterThan" allowBlank="1" showInputMessage="1" showErrorMessage="1" errorTitle="Numeric values only allowed" error="Numeric values only" sqref="H54:O55" xr:uid="{00000000-0002-0000-1100-000001000000}">
      <formula1>-99999999</formula1>
    </dataValidation>
    <dataValidation type="date" operator="greaterThan" allowBlank="1" showInputMessage="1" showErrorMessage="1" errorTitle="Valid date" error="Please enter a valid date." sqref="H7:O9" xr:uid="{00000000-0002-0000-1100-000002000000}">
      <formula1>6576</formula1>
    </dataValidation>
    <dataValidation type="textLength" allowBlank="1" showInputMessage="1" showErrorMessage="1" promptTitle="Maximum 250 characters" sqref="R29:S29 R35:S35 R42:S42" xr:uid="{00000000-0002-0000-1100-000003000000}">
      <formula1>0</formula1>
      <formula2>250</formula2>
    </dataValidation>
  </dataValidations>
  <printOptions headings="1" gridLines="1"/>
  <pageMargins left="0.11811023622047245" right="0.11811023622047245" top="0.74803149606299213" bottom="0.74803149606299213" header="0.31496062992125984" footer="0.31496062992125984"/>
  <pageSetup paperSize="8" orientation="landscape" r:id="rId1"/>
  <headerFooter>
    <oddHeader>&amp;L&amp;"Calibri,Regular"&amp;11&amp;A</oddHeader>
    <oddFooter>&amp;L&amp;"Calibri,Regular"&amp;11&amp;F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A7FF03E-CD02-4DB2-B71B-188B28D9C733}">
          <x14:formula1>
            <xm:f>'Hide_me(drop_downs)'!$A$2:$A$3</xm:f>
          </x14:formula1>
          <xm:sqref>H47:O48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00C1-A07D-45EC-9030-4A7A6F14906E}">
  <sheetPr codeName="Sheet21">
    <pageSetUpPr fitToPage="1"/>
  </sheetPr>
  <dimension ref="A1:P170"/>
  <sheetViews>
    <sheetView zoomScale="90" zoomScaleNormal="90" workbookViewId="0">
      <pane ySplit="4" topLeftCell="A5" activePane="bottomLeft" state="frozenSplit"/>
      <selection activeCell="P23" sqref="P23 P23:Q23"/>
      <selection pane="bottomLeft" activeCell="H10" sqref="H10"/>
    </sheetView>
  </sheetViews>
  <sheetFormatPr defaultColWidth="10" defaultRowHeight="14.5" x14ac:dyDescent="0.35"/>
  <cols>
    <col min="1" max="1" width="12.54296875" style="25" customWidth="1"/>
    <col min="2" max="2" width="4.1796875" style="25" customWidth="1"/>
    <col min="3" max="3" width="11.1796875" style="25" customWidth="1"/>
    <col min="4" max="4" width="64" style="25" customWidth="1"/>
    <col min="5" max="7" width="48.1796875" style="25" hidden="1" customWidth="1"/>
    <col min="8" max="8" width="28.1796875" style="25" customWidth="1"/>
    <col min="9" max="9" width="29.453125" style="25" bestFit="1" customWidth="1"/>
    <col min="10" max="10" width="29.453125" style="25" hidden="1" customWidth="1"/>
    <col min="11" max="15" width="10" style="25" customWidth="1"/>
    <col min="16" max="16" width="10" customWidth="1"/>
    <col min="17" max="17" width="10" style="25" customWidth="1"/>
    <col min="18" max="16384" width="10" style="25"/>
  </cols>
  <sheetData>
    <row r="1" spans="1:10" customFormat="1" ht="30" customHeight="1" x14ac:dyDescent="0.35">
      <c r="A1" s="634" t="s">
        <v>1199</v>
      </c>
      <c r="B1" s="275" t="s">
        <v>1200</v>
      </c>
      <c r="C1" s="275"/>
      <c r="D1" s="275"/>
      <c r="E1" s="275"/>
      <c r="F1" s="275"/>
      <c r="G1" s="275"/>
      <c r="H1" s="596"/>
      <c r="I1" s="277" t="s">
        <v>599</v>
      </c>
      <c r="J1" s="277" t="s">
        <v>599</v>
      </c>
    </row>
    <row r="2" spans="1:10" customFormat="1" ht="35.25" customHeight="1" x14ac:dyDescent="0.35">
      <c r="A2" s="635"/>
      <c r="B2" s="347"/>
      <c r="C2" s="347"/>
      <c r="D2" s="347"/>
      <c r="E2" s="347"/>
      <c r="F2" s="347"/>
      <c r="G2" s="347"/>
      <c r="H2" s="599"/>
      <c r="I2" s="283" t="s">
        <v>600</v>
      </c>
      <c r="J2" s="283" t="s">
        <v>601</v>
      </c>
    </row>
    <row r="3" spans="1:10" customFormat="1" ht="21.75" customHeight="1" x14ac:dyDescent="0.35">
      <c r="A3" s="600"/>
      <c r="B3" s="285"/>
      <c r="C3" s="285"/>
      <c r="D3" s="285"/>
      <c r="E3" s="285"/>
      <c r="F3" s="285"/>
      <c r="G3" s="285"/>
      <c r="H3" s="287" t="str">
        <f>'Hide_me(drop_downs)'!I1</f>
        <v>Year ended 31 July 2025</v>
      </c>
      <c r="I3" s="288" t="str">
        <f>'Hide_me(drop_downs)'!J1</f>
        <v>Year ended 31 July 2024</v>
      </c>
      <c r="J3" s="288" t="str">
        <f>'Hide_me(drop_downs)'!J1</f>
        <v>Year ended 31 July 2024</v>
      </c>
    </row>
    <row r="4" spans="1:10" customFormat="1" ht="15.5" customHeight="1" x14ac:dyDescent="0.35">
      <c r="A4" s="636"/>
      <c r="B4" s="291"/>
      <c r="C4" s="291"/>
      <c r="D4" s="291"/>
      <c r="E4" s="291"/>
      <c r="F4" s="291"/>
      <c r="G4" s="291"/>
      <c r="H4" s="293" t="s">
        <v>607</v>
      </c>
      <c r="I4" s="293" t="s">
        <v>607</v>
      </c>
      <c r="J4" s="293" t="s">
        <v>607</v>
      </c>
    </row>
    <row r="5" spans="1:10" x14ac:dyDescent="0.35">
      <c r="A5" s="294">
        <v>1</v>
      </c>
      <c r="B5" s="738" t="s">
        <v>629</v>
      </c>
      <c r="C5" s="739"/>
      <c r="D5" s="739"/>
      <c r="E5" s="435"/>
      <c r="F5" s="435"/>
      <c r="G5" s="435"/>
      <c r="H5" s="637"/>
      <c r="I5" s="638"/>
      <c r="J5" s="638" t="s">
        <v>1201</v>
      </c>
    </row>
    <row r="6" spans="1:10" x14ac:dyDescent="0.35">
      <c r="A6" s="294" t="s">
        <v>613</v>
      </c>
      <c r="B6" s="311"/>
      <c r="C6" s="312" t="s">
        <v>1202</v>
      </c>
      <c r="D6" s="302"/>
      <c r="E6" s="302"/>
      <c r="F6" s="302"/>
      <c r="G6" s="302"/>
      <c r="H6" s="306">
        <v>316062</v>
      </c>
      <c r="I6" s="306">
        <v>293511</v>
      </c>
      <c r="J6" s="306">
        <v>293511</v>
      </c>
    </row>
    <row r="7" spans="1:10" x14ac:dyDescent="0.35">
      <c r="A7" s="294" t="s">
        <v>615</v>
      </c>
      <c r="B7" s="311"/>
      <c r="C7" s="312" t="s">
        <v>1203</v>
      </c>
      <c r="D7" s="302"/>
      <c r="E7" s="302"/>
      <c r="F7" s="302"/>
      <c r="G7" s="302"/>
      <c r="H7" s="306">
        <v>299148</v>
      </c>
      <c r="I7" s="306">
        <v>267616</v>
      </c>
      <c r="J7" s="306">
        <v>267616</v>
      </c>
    </row>
    <row r="8" spans="1:10" x14ac:dyDescent="0.35">
      <c r="A8" s="294" t="s">
        <v>617</v>
      </c>
      <c r="B8" s="308" t="s">
        <v>1204</v>
      </c>
      <c r="C8" s="308"/>
      <c r="D8" s="364"/>
      <c r="E8" s="364"/>
      <c r="F8" s="364"/>
      <c r="G8" s="364"/>
      <c r="H8" s="310">
        <f>SUM(H6:H7)</f>
        <v>615210</v>
      </c>
      <c r="I8" s="310">
        <f>SUM(I6:I7)</f>
        <v>561127</v>
      </c>
      <c r="J8" s="639">
        <f>SUM(J6:J7)</f>
        <v>561127</v>
      </c>
    </row>
    <row r="9" spans="1:10" x14ac:dyDescent="0.35">
      <c r="A9" s="294" t="s">
        <v>619</v>
      </c>
      <c r="B9" s="311"/>
      <c r="C9" s="312" t="s">
        <v>1205</v>
      </c>
      <c r="D9" s="302"/>
      <c r="E9" s="302"/>
      <c r="F9" s="302"/>
      <c r="G9" s="302"/>
      <c r="H9" s="306">
        <v>73375</v>
      </c>
      <c r="I9" s="306">
        <v>61300</v>
      </c>
      <c r="J9" s="306">
        <v>61300</v>
      </c>
    </row>
    <row r="10" spans="1:10" x14ac:dyDescent="0.35">
      <c r="A10" s="294" t="s">
        <v>621</v>
      </c>
      <c r="B10" s="311"/>
      <c r="C10" s="312" t="s">
        <v>1206</v>
      </c>
      <c r="D10" s="302"/>
      <c r="E10" s="302"/>
      <c r="F10" s="302"/>
      <c r="G10" s="302"/>
      <c r="H10" s="306">
        <v>108715</v>
      </c>
      <c r="I10" s="306">
        <v>115557</v>
      </c>
      <c r="J10" s="306">
        <v>115557</v>
      </c>
    </row>
    <row r="11" spans="1:10" x14ac:dyDescent="0.35">
      <c r="A11" s="294" t="s">
        <v>623</v>
      </c>
      <c r="B11" s="311"/>
      <c r="C11" s="312" t="s">
        <v>1207</v>
      </c>
      <c r="D11" s="302"/>
      <c r="E11" s="302"/>
      <c r="F11" s="302"/>
      <c r="G11" s="302"/>
      <c r="H11" s="306">
        <v>619</v>
      </c>
      <c r="I11" s="306">
        <v>515</v>
      </c>
      <c r="J11" s="306">
        <v>515</v>
      </c>
    </row>
    <row r="12" spans="1:10" x14ac:dyDescent="0.35">
      <c r="A12" s="294" t="s">
        <v>625</v>
      </c>
      <c r="B12" s="311"/>
      <c r="C12" s="312" t="s">
        <v>1208</v>
      </c>
      <c r="D12" s="302"/>
      <c r="E12" s="302"/>
      <c r="F12" s="302"/>
      <c r="G12" s="302"/>
      <c r="H12" s="306">
        <v>243</v>
      </c>
      <c r="I12" s="306">
        <v>188</v>
      </c>
      <c r="J12" s="306">
        <v>188</v>
      </c>
    </row>
    <row r="13" spans="1:10" x14ac:dyDescent="0.35">
      <c r="A13" s="294" t="s">
        <v>689</v>
      </c>
      <c r="B13" s="311"/>
      <c r="C13" s="312" t="s">
        <v>1209</v>
      </c>
      <c r="D13" s="302"/>
      <c r="E13" s="302"/>
      <c r="F13" s="302"/>
      <c r="G13" s="302"/>
      <c r="H13" s="306">
        <v>19143</v>
      </c>
      <c r="I13" s="306">
        <v>16840</v>
      </c>
      <c r="J13" s="306">
        <v>16840</v>
      </c>
    </row>
    <row r="14" spans="1:10" x14ac:dyDescent="0.35">
      <c r="A14" s="294" t="s">
        <v>691</v>
      </c>
      <c r="B14" s="311"/>
      <c r="C14" s="312" t="s">
        <v>1210</v>
      </c>
      <c r="D14" s="302"/>
      <c r="E14" s="302"/>
      <c r="F14" s="302"/>
      <c r="G14" s="302"/>
      <c r="H14" s="306">
        <v>0</v>
      </c>
      <c r="I14" s="306">
        <v>-352409</v>
      </c>
      <c r="J14" s="322">
        <v>-352409</v>
      </c>
    </row>
    <row r="15" spans="1:10" x14ac:dyDescent="0.35">
      <c r="A15" s="294" t="s">
        <v>693</v>
      </c>
      <c r="B15" s="311"/>
      <c r="C15" s="312" t="s">
        <v>1211</v>
      </c>
      <c r="D15" s="302"/>
      <c r="E15" s="302"/>
      <c r="F15" s="302"/>
      <c r="G15" s="302"/>
      <c r="H15" s="306">
        <v>0</v>
      </c>
      <c r="I15" s="306">
        <v>0</v>
      </c>
      <c r="J15" s="322">
        <v>0</v>
      </c>
    </row>
    <row r="16" spans="1:10" x14ac:dyDescent="0.35">
      <c r="A16" s="294" t="s">
        <v>695</v>
      </c>
      <c r="B16" s="311"/>
      <c r="C16" s="312" t="s">
        <v>1212</v>
      </c>
      <c r="D16" s="302"/>
      <c r="E16" s="302"/>
      <c r="F16" s="302"/>
      <c r="G16" s="302"/>
      <c r="H16" s="306">
        <v>11990</v>
      </c>
      <c r="I16" s="306">
        <v>350</v>
      </c>
      <c r="J16" s="306">
        <v>350</v>
      </c>
    </row>
    <row r="17" spans="1:16" x14ac:dyDescent="0.35">
      <c r="A17" s="294" t="s">
        <v>880</v>
      </c>
      <c r="B17" s="307" t="s">
        <v>1213</v>
      </c>
      <c r="C17" s="364"/>
      <c r="D17" s="364"/>
      <c r="E17" s="364"/>
      <c r="F17" s="364"/>
      <c r="G17" s="364"/>
      <c r="H17" s="310">
        <f>SUM(H8:H16)</f>
        <v>829295</v>
      </c>
      <c r="I17" s="310">
        <f>SUM(I8:I16)</f>
        <v>403468</v>
      </c>
      <c r="J17" s="323">
        <f>SUM(J8:J16)</f>
        <v>403468</v>
      </c>
    </row>
    <row r="18" spans="1:16" x14ac:dyDescent="0.35">
      <c r="A18" s="294"/>
      <c r="B18" s="640"/>
      <c r="C18" s="640"/>
      <c r="D18" s="640"/>
      <c r="E18" s="640"/>
      <c r="F18" s="640"/>
      <c r="G18" s="640"/>
      <c r="H18" s="641"/>
      <c r="I18" s="623"/>
      <c r="J18" s="623"/>
    </row>
    <row r="19" spans="1:16" x14ac:dyDescent="0.35">
      <c r="A19" s="294" t="s">
        <v>882</v>
      </c>
      <c r="B19" s="307" t="s">
        <v>1214</v>
      </c>
      <c r="C19" s="364"/>
      <c r="D19" s="364"/>
      <c r="E19" s="364"/>
      <c r="F19" s="364"/>
      <c r="G19" s="364"/>
      <c r="H19" s="310">
        <f>SUM(H17-H14-H15)</f>
        <v>829295</v>
      </c>
      <c r="I19" s="310">
        <f>SUM(I17-I14-I15)</f>
        <v>755877</v>
      </c>
      <c r="J19" s="408">
        <f>SUM(J17-J14-J15)</f>
        <v>755877</v>
      </c>
    </row>
    <row r="20" spans="1:16" x14ac:dyDescent="0.35">
      <c r="A20" s="294"/>
      <c r="B20" s="640"/>
      <c r="C20" s="640"/>
      <c r="D20" s="640"/>
      <c r="E20" s="640"/>
      <c r="F20" s="640"/>
      <c r="G20" s="640"/>
      <c r="H20" s="641"/>
      <c r="I20" s="623"/>
      <c r="J20" s="623"/>
    </row>
    <row r="21" spans="1:16" x14ac:dyDescent="0.35">
      <c r="A21" s="294">
        <v>2</v>
      </c>
      <c r="B21" s="738" t="s">
        <v>1215</v>
      </c>
      <c r="C21" s="739"/>
      <c r="D21" s="739"/>
      <c r="E21" s="435"/>
      <c r="F21" s="435"/>
      <c r="G21" s="435"/>
      <c r="H21" s="637" t="s">
        <v>1201</v>
      </c>
      <c r="I21" s="638" t="s">
        <v>1201</v>
      </c>
      <c r="J21" s="638" t="s">
        <v>1201</v>
      </c>
    </row>
    <row r="22" spans="1:16" x14ac:dyDescent="0.35">
      <c r="A22" s="294" t="s">
        <v>628</v>
      </c>
      <c r="B22" s="311"/>
      <c r="C22" s="7" t="s">
        <v>1216</v>
      </c>
      <c r="D22" s="302"/>
      <c r="E22" s="302"/>
      <c r="F22" s="302"/>
      <c r="G22" s="302"/>
      <c r="H22" s="642">
        <v>5545</v>
      </c>
      <c r="I22" s="642">
        <v>5402</v>
      </c>
      <c r="J22" s="643">
        <v>5402</v>
      </c>
    </row>
    <row r="23" spans="1:16" ht="12.5" x14ac:dyDescent="0.25">
      <c r="A23" s="294" t="s">
        <v>630</v>
      </c>
      <c r="B23" s="311"/>
      <c r="C23" s="7" t="s">
        <v>1217</v>
      </c>
      <c r="D23" s="302"/>
      <c r="E23" s="302"/>
      <c r="F23" s="302"/>
      <c r="G23" s="302"/>
      <c r="H23" s="642">
        <v>7758</v>
      </c>
      <c r="I23" s="642">
        <v>7700</v>
      </c>
      <c r="J23" s="643">
        <v>7700</v>
      </c>
      <c r="P23" s="27"/>
    </row>
    <row r="24" spans="1:16" x14ac:dyDescent="0.35">
      <c r="A24" s="294" t="s">
        <v>632</v>
      </c>
      <c r="B24" s="307" t="s">
        <v>1218</v>
      </c>
      <c r="C24" s="364"/>
      <c r="D24" s="364"/>
      <c r="E24" s="364"/>
      <c r="F24" s="364"/>
      <c r="G24" s="364"/>
      <c r="H24" s="644">
        <f>SUM(H22:H23)</f>
        <v>13303</v>
      </c>
      <c r="I24" s="644">
        <f>SUM(I22:I23)</f>
        <v>13102</v>
      </c>
      <c r="J24" s="645">
        <f>SUM(J22:J23)</f>
        <v>13102</v>
      </c>
    </row>
    <row r="25" spans="1:16" x14ac:dyDescent="0.35">
      <c r="A25" s="294"/>
      <c r="B25" s="646"/>
      <c r="C25" s="341"/>
      <c r="D25" s="7"/>
      <c r="E25" s="27"/>
      <c r="F25" s="27"/>
      <c r="G25" s="27"/>
      <c r="H25" s="27"/>
      <c r="I25" s="72"/>
      <c r="J25" s="72"/>
    </row>
    <row r="26" spans="1:16" customFormat="1" ht="25.5" customHeight="1" x14ac:dyDescent="0.35">
      <c r="A26" s="294">
        <v>3</v>
      </c>
      <c r="B26" s="740" t="s">
        <v>1219</v>
      </c>
      <c r="C26" s="741"/>
      <c r="D26" s="741"/>
      <c r="E26" s="612"/>
      <c r="F26" s="612"/>
      <c r="G26" s="612"/>
      <c r="H26" s="647" t="s">
        <v>1220</v>
      </c>
      <c r="I26" s="647" t="s">
        <v>1220</v>
      </c>
      <c r="J26" s="647" t="s">
        <v>1220</v>
      </c>
    </row>
    <row r="27" spans="1:16" customFormat="1" ht="15.5" customHeight="1" x14ac:dyDescent="0.35">
      <c r="A27" s="294" t="s">
        <v>123</v>
      </c>
      <c r="B27" s="308" t="s">
        <v>1221</v>
      </c>
      <c r="C27" s="337"/>
      <c r="D27" s="364"/>
      <c r="E27" s="364"/>
      <c r="F27" s="364"/>
      <c r="G27" s="364"/>
      <c r="H27" s="572">
        <f>SUM(H30:H170)</f>
        <v>0</v>
      </c>
      <c r="I27" s="572">
        <f>SUM(I30:I170)</f>
        <v>0</v>
      </c>
      <c r="J27" s="572">
        <f>SUM(J30:J170)</f>
        <v>0</v>
      </c>
    </row>
    <row r="28" spans="1:16" x14ac:dyDescent="0.35">
      <c r="A28" s="294"/>
      <c r="B28" s="646"/>
      <c r="C28" s="341"/>
      <c r="D28" s="7"/>
      <c r="E28" s="27"/>
      <c r="F28" s="27"/>
      <c r="G28" s="27"/>
      <c r="H28" s="27"/>
      <c r="I28" s="65"/>
      <c r="J28" s="65"/>
    </row>
    <row r="29" spans="1:16" x14ac:dyDescent="0.35">
      <c r="A29" s="294"/>
      <c r="B29" s="648"/>
      <c r="C29" s="64" t="s">
        <v>1222</v>
      </c>
      <c r="D29" s="649"/>
      <c r="E29" s="649"/>
      <c r="F29" s="649"/>
      <c r="G29" s="649"/>
      <c r="H29" s="327"/>
      <c r="I29" s="327"/>
      <c r="J29" s="327"/>
    </row>
    <row r="30" spans="1:16" x14ac:dyDescent="0.35">
      <c r="A30" s="294"/>
      <c r="B30" s="311"/>
      <c r="C30" s="312"/>
      <c r="D30" s="64" t="s">
        <v>1223</v>
      </c>
      <c r="E30" s="64"/>
      <c r="F30" s="64"/>
      <c r="G30" s="64"/>
      <c r="H30" s="129">
        <v>0</v>
      </c>
      <c r="I30" s="129">
        <v>0</v>
      </c>
      <c r="J30" s="129">
        <v>0</v>
      </c>
    </row>
    <row r="31" spans="1:16" x14ac:dyDescent="0.35">
      <c r="A31" s="294"/>
      <c r="B31" s="311"/>
      <c r="C31" s="312"/>
      <c r="D31" s="7" t="s">
        <v>1224</v>
      </c>
      <c r="E31" s="7"/>
      <c r="F31" s="7"/>
      <c r="G31" s="7"/>
      <c r="H31" s="129">
        <v>0</v>
      </c>
      <c r="I31" s="129">
        <v>0</v>
      </c>
      <c r="J31" s="129">
        <v>0</v>
      </c>
    </row>
    <row r="32" spans="1:16" x14ac:dyDescent="0.35">
      <c r="A32" s="294"/>
      <c r="B32" s="311"/>
      <c r="C32" s="312"/>
      <c r="D32" s="7" t="s">
        <v>1225</v>
      </c>
      <c r="E32" s="7"/>
      <c r="F32" s="7"/>
      <c r="G32" s="7"/>
      <c r="H32" s="129">
        <v>0</v>
      </c>
      <c r="I32" s="129">
        <v>0</v>
      </c>
      <c r="J32" s="129">
        <v>0</v>
      </c>
    </row>
    <row r="33" spans="1:10" x14ac:dyDescent="0.35">
      <c r="A33" s="294"/>
      <c r="B33" s="311"/>
      <c r="C33" s="312"/>
      <c r="D33" s="7" t="s">
        <v>1226</v>
      </c>
      <c r="E33" s="7"/>
      <c r="F33" s="7"/>
      <c r="G33" s="7"/>
      <c r="H33" s="129">
        <v>0</v>
      </c>
      <c r="I33" s="129">
        <v>0</v>
      </c>
      <c r="J33" s="129">
        <v>0</v>
      </c>
    </row>
    <row r="34" spans="1:10" x14ac:dyDescent="0.35">
      <c r="A34" s="294"/>
      <c r="B34" s="311"/>
      <c r="C34" s="312"/>
      <c r="D34" s="7" t="s">
        <v>1227</v>
      </c>
      <c r="E34" s="7"/>
      <c r="F34" s="7"/>
      <c r="G34" s="7"/>
      <c r="H34" s="129">
        <v>0</v>
      </c>
      <c r="I34" s="129">
        <v>0</v>
      </c>
      <c r="J34" s="129">
        <v>0</v>
      </c>
    </row>
    <row r="35" spans="1:10" x14ac:dyDescent="0.35">
      <c r="A35" s="294"/>
      <c r="B35" s="311"/>
      <c r="C35" s="312"/>
      <c r="D35" s="7" t="s">
        <v>1228</v>
      </c>
      <c r="E35" s="7"/>
      <c r="F35" s="7"/>
      <c r="G35" s="7"/>
      <c r="H35" s="129">
        <v>0</v>
      </c>
      <c r="I35" s="129">
        <v>0</v>
      </c>
      <c r="J35" s="129">
        <v>0</v>
      </c>
    </row>
    <row r="36" spans="1:10" x14ac:dyDescent="0.35">
      <c r="A36" s="294"/>
      <c r="B36" s="311"/>
      <c r="C36" s="312"/>
      <c r="D36" s="7" t="s">
        <v>1229</v>
      </c>
      <c r="E36" s="7"/>
      <c r="F36" s="7"/>
      <c r="G36" s="7"/>
      <c r="H36" s="129">
        <v>0</v>
      </c>
      <c r="I36" s="129">
        <v>0</v>
      </c>
      <c r="J36" s="129">
        <v>0</v>
      </c>
    </row>
    <row r="37" spans="1:10" x14ac:dyDescent="0.35">
      <c r="A37" s="294"/>
      <c r="B37" s="311"/>
      <c r="C37" s="312"/>
      <c r="D37" s="7" t="s">
        <v>1230</v>
      </c>
      <c r="E37" s="7"/>
      <c r="F37" s="7"/>
      <c r="G37" s="7"/>
      <c r="H37" s="129">
        <v>0</v>
      </c>
      <c r="I37" s="129">
        <v>0</v>
      </c>
      <c r="J37" s="129">
        <v>0</v>
      </c>
    </row>
    <row r="38" spans="1:10" x14ac:dyDescent="0.35">
      <c r="A38" s="294"/>
      <c r="B38" s="311"/>
      <c r="C38" s="312"/>
      <c r="D38" s="130" t="s">
        <v>1231</v>
      </c>
      <c r="E38" s="130"/>
      <c r="F38" s="130"/>
      <c r="G38" s="130"/>
      <c r="H38" s="129">
        <v>0</v>
      </c>
      <c r="I38" s="129">
        <v>0</v>
      </c>
      <c r="J38" s="129">
        <v>0</v>
      </c>
    </row>
    <row r="39" spans="1:10" x14ac:dyDescent="0.35">
      <c r="A39" s="294"/>
      <c r="B39" s="311"/>
      <c r="C39" s="312"/>
      <c r="D39" s="6" t="s">
        <v>1232</v>
      </c>
      <c r="E39" s="6"/>
      <c r="F39" s="6"/>
      <c r="G39" s="6"/>
      <c r="H39" s="129">
        <v>0</v>
      </c>
      <c r="I39" s="129">
        <v>0</v>
      </c>
      <c r="J39" s="129">
        <v>0</v>
      </c>
    </row>
    <row r="40" spans="1:10" x14ac:dyDescent="0.35">
      <c r="A40" s="294"/>
      <c r="B40" s="311"/>
      <c r="C40" s="312"/>
      <c r="D40" s="6" t="s">
        <v>1233</v>
      </c>
      <c r="E40" s="6"/>
      <c r="F40" s="6"/>
      <c r="G40" s="6"/>
      <c r="H40" s="129">
        <v>0</v>
      </c>
      <c r="I40" s="129">
        <v>0</v>
      </c>
      <c r="J40" s="129">
        <v>0</v>
      </c>
    </row>
    <row r="41" spans="1:10" x14ac:dyDescent="0.35">
      <c r="A41" s="294"/>
      <c r="B41" s="311"/>
      <c r="C41" s="312"/>
      <c r="D41" s="6" t="s">
        <v>1234</v>
      </c>
      <c r="E41" s="6"/>
      <c r="F41" s="6"/>
      <c r="G41" s="6"/>
      <c r="H41" s="129">
        <v>0</v>
      </c>
      <c r="I41" s="129">
        <v>0</v>
      </c>
      <c r="J41" s="129">
        <v>0</v>
      </c>
    </row>
    <row r="42" spans="1:10" x14ac:dyDescent="0.35">
      <c r="A42" s="294"/>
      <c r="B42" s="311"/>
      <c r="C42" s="377"/>
      <c r="D42" s="6" t="s">
        <v>1235</v>
      </c>
      <c r="E42" s="6"/>
      <c r="F42" s="6"/>
      <c r="G42" s="6"/>
      <c r="H42" s="129">
        <v>0</v>
      </c>
      <c r="I42" s="129">
        <v>0</v>
      </c>
      <c r="J42" s="129">
        <v>0</v>
      </c>
    </row>
    <row r="43" spans="1:10" x14ac:dyDescent="0.35">
      <c r="A43" s="294"/>
      <c r="B43" s="311"/>
      <c r="C43" s="312"/>
      <c r="D43" s="6" t="s">
        <v>1236</v>
      </c>
      <c r="E43" s="6"/>
      <c r="F43" s="6"/>
      <c r="G43" s="6"/>
      <c r="H43" s="129">
        <v>0</v>
      </c>
      <c r="I43" s="129">
        <v>0</v>
      </c>
      <c r="J43" s="129">
        <v>0</v>
      </c>
    </row>
    <row r="44" spans="1:10" x14ac:dyDescent="0.35">
      <c r="A44" s="294"/>
      <c r="B44" s="311"/>
      <c r="C44" s="312"/>
      <c r="D44" s="6" t="s">
        <v>1237</v>
      </c>
      <c r="E44" s="6"/>
      <c r="F44" s="6"/>
      <c r="G44" s="6"/>
      <c r="H44" s="129">
        <v>0</v>
      </c>
      <c r="I44" s="129">
        <v>0</v>
      </c>
      <c r="J44" s="129">
        <v>0</v>
      </c>
    </row>
    <row r="45" spans="1:10" x14ac:dyDescent="0.35">
      <c r="A45" s="294"/>
      <c r="B45" s="311"/>
      <c r="C45" s="312"/>
      <c r="D45" s="6" t="s">
        <v>1238</v>
      </c>
      <c r="E45" s="6"/>
      <c r="F45" s="6"/>
      <c r="G45" s="6"/>
      <c r="H45" s="129">
        <v>0</v>
      </c>
      <c r="I45" s="129">
        <v>0</v>
      </c>
      <c r="J45" s="129">
        <v>0</v>
      </c>
    </row>
    <row r="46" spans="1:10" x14ac:dyDescent="0.35">
      <c r="A46" s="294"/>
      <c r="B46" s="311"/>
      <c r="C46" s="312"/>
      <c r="D46" s="6" t="s">
        <v>1239</v>
      </c>
      <c r="E46" s="6"/>
      <c r="F46" s="6"/>
      <c r="G46" s="6"/>
      <c r="H46" s="129">
        <v>0</v>
      </c>
      <c r="I46" s="129">
        <v>0</v>
      </c>
      <c r="J46" s="129">
        <v>0</v>
      </c>
    </row>
    <row r="47" spans="1:10" x14ac:dyDescent="0.35">
      <c r="A47" s="294"/>
      <c r="B47" s="311"/>
      <c r="C47" s="312"/>
      <c r="D47" s="6" t="s">
        <v>1240</v>
      </c>
      <c r="E47" s="6"/>
      <c r="F47" s="6"/>
      <c r="G47" s="6"/>
      <c r="H47" s="129">
        <v>0</v>
      </c>
      <c r="I47" s="129">
        <v>0</v>
      </c>
      <c r="J47" s="129">
        <v>0</v>
      </c>
    </row>
    <row r="48" spans="1:10" x14ac:dyDescent="0.35">
      <c r="A48" s="294"/>
      <c r="B48" s="311"/>
      <c r="C48" s="312"/>
      <c r="D48" s="6" t="s">
        <v>1241</v>
      </c>
      <c r="E48" s="6"/>
      <c r="F48" s="6"/>
      <c r="G48" s="6"/>
      <c r="H48" s="129">
        <v>0</v>
      </c>
      <c r="I48" s="129">
        <v>0</v>
      </c>
      <c r="J48" s="129">
        <v>0</v>
      </c>
    </row>
    <row r="49" spans="1:10" x14ac:dyDescent="0.35">
      <c r="A49" s="294"/>
      <c r="B49" s="311"/>
      <c r="C49" s="312"/>
      <c r="D49" s="6" t="s">
        <v>1242</v>
      </c>
      <c r="E49" s="6"/>
      <c r="F49" s="6"/>
      <c r="G49" s="6"/>
      <c r="H49" s="129">
        <v>0</v>
      </c>
      <c r="I49" s="129">
        <v>0</v>
      </c>
      <c r="J49" s="129">
        <v>0</v>
      </c>
    </row>
    <row r="50" spans="1:10" x14ac:dyDescent="0.35">
      <c r="A50" s="294"/>
      <c r="B50" s="311"/>
      <c r="C50" s="312"/>
      <c r="D50" s="6" t="s">
        <v>1243</v>
      </c>
      <c r="E50" s="6"/>
      <c r="F50" s="6"/>
      <c r="G50" s="6"/>
      <c r="H50" s="129">
        <v>0</v>
      </c>
      <c r="I50" s="129">
        <v>0</v>
      </c>
      <c r="J50" s="129">
        <v>0</v>
      </c>
    </row>
    <row r="51" spans="1:10" x14ac:dyDescent="0.35">
      <c r="A51" s="294"/>
      <c r="B51" s="311"/>
      <c r="C51" s="312"/>
      <c r="D51" s="6" t="s">
        <v>1244</v>
      </c>
      <c r="E51" s="6"/>
      <c r="F51" s="6"/>
      <c r="G51" s="6"/>
      <c r="H51" s="129">
        <v>0</v>
      </c>
      <c r="I51" s="129">
        <v>0</v>
      </c>
      <c r="J51" s="129">
        <v>0</v>
      </c>
    </row>
    <row r="52" spans="1:10" x14ac:dyDescent="0.35">
      <c r="A52" s="294"/>
      <c r="B52" s="311"/>
      <c r="C52" s="312"/>
      <c r="D52" s="6" t="s">
        <v>1245</v>
      </c>
      <c r="E52" s="6"/>
      <c r="F52" s="6"/>
      <c r="G52" s="6"/>
      <c r="H52" s="129">
        <v>0</v>
      </c>
      <c r="I52" s="129">
        <v>0</v>
      </c>
      <c r="J52" s="129">
        <v>0</v>
      </c>
    </row>
    <row r="53" spans="1:10" x14ac:dyDescent="0.35">
      <c r="A53" s="294"/>
      <c r="B53" s="311"/>
      <c r="C53" s="312"/>
      <c r="D53" s="6" t="s">
        <v>1246</v>
      </c>
      <c r="E53" s="6"/>
      <c r="F53" s="6"/>
      <c r="G53" s="6"/>
      <c r="H53" s="129">
        <v>0</v>
      </c>
      <c r="I53" s="129">
        <v>0</v>
      </c>
      <c r="J53" s="129">
        <v>0</v>
      </c>
    </row>
    <row r="54" spans="1:10" x14ac:dyDescent="0.35">
      <c r="A54" s="294"/>
      <c r="B54" s="311"/>
      <c r="C54" s="312"/>
      <c r="D54" s="6" t="s">
        <v>1247</v>
      </c>
      <c r="E54" s="6"/>
      <c r="F54" s="6"/>
      <c r="G54" s="6"/>
      <c r="H54" s="129">
        <v>0</v>
      </c>
      <c r="I54" s="129">
        <v>0</v>
      </c>
      <c r="J54" s="129">
        <v>0</v>
      </c>
    </row>
    <row r="55" spans="1:10" x14ac:dyDescent="0.35">
      <c r="A55" s="294"/>
      <c r="B55" s="311"/>
      <c r="C55" s="312"/>
      <c r="D55" s="6" t="s">
        <v>1248</v>
      </c>
      <c r="E55" s="6"/>
      <c r="F55" s="6"/>
      <c r="G55" s="6"/>
      <c r="H55" s="129">
        <v>0</v>
      </c>
      <c r="I55" s="129">
        <v>0</v>
      </c>
      <c r="J55" s="129">
        <v>0</v>
      </c>
    </row>
    <row r="56" spans="1:10" x14ac:dyDescent="0.35">
      <c r="A56" s="294"/>
      <c r="B56" s="311"/>
      <c r="C56" s="312"/>
      <c r="D56" s="6" t="s">
        <v>1249</v>
      </c>
      <c r="E56" s="6"/>
      <c r="F56" s="6"/>
      <c r="G56" s="6"/>
      <c r="H56" s="129">
        <v>0</v>
      </c>
      <c r="I56" s="129">
        <v>0</v>
      </c>
      <c r="J56" s="129">
        <v>0</v>
      </c>
    </row>
    <row r="57" spans="1:10" x14ac:dyDescent="0.35">
      <c r="A57" s="294"/>
      <c r="B57" s="311"/>
      <c r="C57" s="312"/>
      <c r="D57" s="6" t="s">
        <v>1250</v>
      </c>
      <c r="E57" s="6"/>
      <c r="F57" s="6"/>
      <c r="G57" s="6"/>
      <c r="H57" s="129">
        <v>0</v>
      </c>
      <c r="I57" s="129">
        <v>0</v>
      </c>
      <c r="J57" s="129">
        <v>0</v>
      </c>
    </row>
    <row r="58" spans="1:10" x14ac:dyDescent="0.35">
      <c r="A58" s="294"/>
      <c r="B58" s="311"/>
      <c r="C58" s="312"/>
      <c r="D58" s="6" t="s">
        <v>1251</v>
      </c>
      <c r="E58" s="6"/>
      <c r="F58" s="6"/>
      <c r="G58" s="6"/>
      <c r="H58" s="129">
        <v>0</v>
      </c>
      <c r="I58" s="129">
        <v>0</v>
      </c>
      <c r="J58" s="129">
        <v>0</v>
      </c>
    </row>
    <row r="59" spans="1:10" x14ac:dyDescent="0.35">
      <c r="A59" s="294"/>
      <c r="B59" s="311"/>
      <c r="C59" s="312"/>
      <c r="D59" s="6" t="s">
        <v>1252</v>
      </c>
      <c r="E59" s="6"/>
      <c r="F59" s="6"/>
      <c r="G59" s="6"/>
      <c r="H59" s="129">
        <v>0</v>
      </c>
      <c r="I59" s="129">
        <v>0</v>
      </c>
      <c r="J59" s="129">
        <v>0</v>
      </c>
    </row>
    <row r="60" spans="1:10" x14ac:dyDescent="0.35">
      <c r="A60" s="294"/>
      <c r="B60" s="311"/>
      <c r="C60" s="312"/>
      <c r="D60" s="6" t="s">
        <v>1253</v>
      </c>
      <c r="E60" s="6"/>
      <c r="F60" s="6"/>
      <c r="G60" s="6"/>
      <c r="H60" s="129">
        <v>0</v>
      </c>
      <c r="I60" s="129">
        <v>0</v>
      </c>
      <c r="J60" s="129">
        <v>0</v>
      </c>
    </row>
    <row r="61" spans="1:10" x14ac:dyDescent="0.35">
      <c r="A61" s="294"/>
      <c r="B61" s="311"/>
      <c r="C61" s="312"/>
      <c r="D61" s="6" t="s">
        <v>1254</v>
      </c>
      <c r="E61" s="6"/>
      <c r="F61" s="6"/>
      <c r="G61" s="6"/>
      <c r="H61" s="129">
        <v>0</v>
      </c>
      <c r="I61" s="129">
        <v>0</v>
      </c>
      <c r="J61" s="129">
        <v>0</v>
      </c>
    </row>
    <row r="62" spans="1:10" x14ac:dyDescent="0.35">
      <c r="A62" s="294"/>
      <c r="B62" s="311"/>
      <c r="C62" s="312"/>
      <c r="D62" s="6" t="s">
        <v>1255</v>
      </c>
      <c r="E62" s="6"/>
      <c r="F62" s="6"/>
      <c r="G62" s="6"/>
      <c r="H62" s="129">
        <v>0</v>
      </c>
      <c r="I62" s="129">
        <v>0</v>
      </c>
      <c r="J62" s="129">
        <v>0</v>
      </c>
    </row>
    <row r="63" spans="1:10" x14ac:dyDescent="0.35">
      <c r="A63" s="294"/>
      <c r="B63" s="311"/>
      <c r="C63" s="312"/>
      <c r="D63" s="6" t="s">
        <v>1256</v>
      </c>
      <c r="E63" s="6"/>
      <c r="F63" s="6"/>
      <c r="G63" s="6"/>
      <c r="H63" s="129">
        <v>0</v>
      </c>
      <c r="I63" s="129">
        <v>0</v>
      </c>
      <c r="J63" s="129">
        <v>0</v>
      </c>
    </row>
    <row r="64" spans="1:10" x14ac:dyDescent="0.35">
      <c r="A64" s="294"/>
      <c r="B64" s="311"/>
      <c r="C64" s="312"/>
      <c r="D64" s="6" t="s">
        <v>1257</v>
      </c>
      <c r="E64" s="6"/>
      <c r="F64" s="6"/>
      <c r="G64" s="6"/>
      <c r="H64" s="129">
        <v>0</v>
      </c>
      <c r="I64" s="129">
        <v>0</v>
      </c>
      <c r="J64" s="129">
        <v>0</v>
      </c>
    </row>
    <row r="65" spans="1:10" x14ac:dyDescent="0.35">
      <c r="A65" s="294"/>
      <c r="B65" s="311"/>
      <c r="C65" s="312"/>
      <c r="D65" s="6" t="s">
        <v>1258</v>
      </c>
      <c r="E65" s="6"/>
      <c r="F65" s="6"/>
      <c r="G65" s="6"/>
      <c r="H65" s="129">
        <v>0</v>
      </c>
      <c r="I65" s="129">
        <v>0</v>
      </c>
      <c r="J65" s="129">
        <v>0</v>
      </c>
    </row>
    <row r="66" spans="1:10" x14ac:dyDescent="0.35">
      <c r="A66" s="294"/>
      <c r="B66" s="311"/>
      <c r="C66" s="312"/>
      <c r="D66" s="6" t="s">
        <v>1259</v>
      </c>
      <c r="E66" s="6"/>
      <c r="F66" s="6"/>
      <c r="G66" s="6"/>
      <c r="H66" s="129">
        <v>0</v>
      </c>
      <c r="I66" s="129">
        <v>0</v>
      </c>
      <c r="J66" s="129">
        <v>0</v>
      </c>
    </row>
    <row r="67" spans="1:10" x14ac:dyDescent="0.35">
      <c r="A67" s="294"/>
      <c r="B67" s="311"/>
      <c r="C67" s="312"/>
      <c r="D67" s="6" t="s">
        <v>1260</v>
      </c>
      <c r="E67" s="6"/>
      <c r="F67" s="6"/>
      <c r="G67" s="6"/>
      <c r="H67" s="129">
        <v>0</v>
      </c>
      <c r="I67" s="129">
        <v>0</v>
      </c>
      <c r="J67" s="129">
        <v>0</v>
      </c>
    </row>
    <row r="68" spans="1:10" x14ac:dyDescent="0.35">
      <c r="A68" s="294"/>
      <c r="B68" s="311"/>
      <c r="C68" s="312"/>
      <c r="D68" s="6" t="s">
        <v>1261</v>
      </c>
      <c r="E68" s="6"/>
      <c r="F68" s="6"/>
      <c r="G68" s="6"/>
      <c r="H68" s="129">
        <v>0</v>
      </c>
      <c r="I68" s="129">
        <v>0</v>
      </c>
      <c r="J68" s="129">
        <v>0</v>
      </c>
    </row>
    <row r="69" spans="1:10" x14ac:dyDescent="0.35">
      <c r="A69" s="294"/>
      <c r="B69" s="311"/>
      <c r="C69" s="312"/>
      <c r="D69" s="6" t="s">
        <v>1262</v>
      </c>
      <c r="E69" s="6"/>
      <c r="F69" s="6"/>
      <c r="G69" s="6"/>
      <c r="H69" s="129">
        <v>0</v>
      </c>
      <c r="I69" s="129">
        <v>0</v>
      </c>
      <c r="J69" s="129">
        <v>0</v>
      </c>
    </row>
    <row r="70" spans="1:10" x14ac:dyDescent="0.35">
      <c r="A70" s="294"/>
      <c r="B70" s="311"/>
      <c r="C70" s="312"/>
      <c r="D70" s="6" t="s">
        <v>1263</v>
      </c>
      <c r="E70" s="6"/>
      <c r="F70" s="6"/>
      <c r="G70" s="6"/>
      <c r="H70" s="129">
        <v>0</v>
      </c>
      <c r="I70" s="129">
        <v>0</v>
      </c>
      <c r="J70" s="129">
        <v>0</v>
      </c>
    </row>
    <row r="71" spans="1:10" x14ac:dyDescent="0.35">
      <c r="A71" s="294"/>
      <c r="B71" s="311"/>
      <c r="C71" s="312"/>
      <c r="D71" s="6" t="s">
        <v>1264</v>
      </c>
      <c r="E71" s="6"/>
      <c r="F71" s="6"/>
      <c r="G71" s="6"/>
      <c r="H71" s="129">
        <v>0</v>
      </c>
      <c r="I71" s="129">
        <v>0</v>
      </c>
      <c r="J71" s="129">
        <v>0</v>
      </c>
    </row>
    <row r="72" spans="1:10" x14ac:dyDescent="0.35">
      <c r="A72" s="294"/>
      <c r="B72" s="311"/>
      <c r="C72" s="312"/>
      <c r="D72" s="6" t="s">
        <v>1265</v>
      </c>
      <c r="E72" s="6"/>
      <c r="F72" s="6"/>
      <c r="G72" s="6"/>
      <c r="H72" s="129">
        <v>0</v>
      </c>
      <c r="I72" s="129">
        <v>0</v>
      </c>
      <c r="J72" s="129">
        <v>0</v>
      </c>
    </row>
    <row r="73" spans="1:10" x14ac:dyDescent="0.35">
      <c r="A73" s="294"/>
      <c r="B73" s="311"/>
      <c r="C73" s="312"/>
      <c r="D73" s="6" t="s">
        <v>1266</v>
      </c>
      <c r="E73" s="6"/>
      <c r="F73" s="6"/>
      <c r="G73" s="6"/>
      <c r="H73" s="129">
        <v>0</v>
      </c>
      <c r="I73" s="129">
        <v>0</v>
      </c>
      <c r="J73" s="129">
        <v>0</v>
      </c>
    </row>
    <row r="74" spans="1:10" x14ac:dyDescent="0.35">
      <c r="A74" s="294"/>
      <c r="B74" s="311"/>
      <c r="C74" s="312"/>
      <c r="D74" s="6" t="s">
        <v>1267</v>
      </c>
      <c r="E74" s="6"/>
      <c r="F74" s="6"/>
      <c r="G74" s="6"/>
      <c r="H74" s="129">
        <v>0</v>
      </c>
      <c r="I74" s="129">
        <v>0</v>
      </c>
      <c r="J74" s="129">
        <v>0</v>
      </c>
    </row>
    <row r="75" spans="1:10" x14ac:dyDescent="0.35">
      <c r="A75" s="294"/>
      <c r="B75" s="311"/>
      <c r="C75" s="312"/>
      <c r="D75" s="6" t="s">
        <v>1268</v>
      </c>
      <c r="E75" s="6"/>
      <c r="F75" s="6"/>
      <c r="G75" s="6"/>
      <c r="H75" s="129">
        <v>0</v>
      </c>
      <c r="I75" s="129">
        <v>0</v>
      </c>
      <c r="J75" s="129">
        <v>0</v>
      </c>
    </row>
    <row r="76" spans="1:10" x14ac:dyDescent="0.35">
      <c r="A76" s="294"/>
      <c r="B76" s="311"/>
      <c r="C76" s="312"/>
      <c r="D76" s="6" t="s">
        <v>1269</v>
      </c>
      <c r="E76" s="6"/>
      <c r="F76" s="6"/>
      <c r="G76" s="6"/>
      <c r="H76" s="129">
        <v>0</v>
      </c>
      <c r="I76" s="129">
        <v>0</v>
      </c>
      <c r="J76" s="129">
        <v>0</v>
      </c>
    </row>
    <row r="77" spans="1:10" x14ac:dyDescent="0.35">
      <c r="A77" s="294"/>
      <c r="B77" s="311"/>
      <c r="C77" s="312"/>
      <c r="D77" s="6" t="s">
        <v>1270</v>
      </c>
      <c r="E77" s="6"/>
      <c r="F77" s="6"/>
      <c r="G77" s="6"/>
      <c r="H77" s="129">
        <v>0</v>
      </c>
      <c r="I77" s="129">
        <v>0</v>
      </c>
      <c r="J77" s="129">
        <v>0</v>
      </c>
    </row>
    <row r="78" spans="1:10" x14ac:dyDescent="0.35">
      <c r="A78" s="294"/>
      <c r="B78" s="311"/>
      <c r="C78" s="312"/>
      <c r="D78" s="6" t="s">
        <v>1271</v>
      </c>
      <c r="E78" s="6"/>
      <c r="F78" s="6"/>
      <c r="G78" s="6"/>
      <c r="H78" s="129">
        <v>0</v>
      </c>
      <c r="I78" s="129">
        <v>0</v>
      </c>
      <c r="J78" s="129">
        <v>0</v>
      </c>
    </row>
    <row r="79" spans="1:10" x14ac:dyDescent="0.35">
      <c r="A79" s="294"/>
      <c r="B79" s="311"/>
      <c r="C79" s="312"/>
      <c r="D79" s="6" t="s">
        <v>1272</v>
      </c>
      <c r="E79" s="6"/>
      <c r="F79" s="6"/>
      <c r="G79" s="6"/>
      <c r="H79" s="129">
        <v>0</v>
      </c>
      <c r="I79" s="129">
        <v>0</v>
      </c>
      <c r="J79" s="129">
        <v>0</v>
      </c>
    </row>
    <row r="80" spans="1:10" x14ac:dyDescent="0.35">
      <c r="A80" s="294"/>
      <c r="B80" s="311"/>
      <c r="C80" s="312"/>
      <c r="D80" s="6" t="s">
        <v>1273</v>
      </c>
      <c r="E80" s="6"/>
      <c r="F80" s="6"/>
      <c r="G80" s="6"/>
      <c r="H80" s="129">
        <v>0</v>
      </c>
      <c r="I80" s="129">
        <v>0</v>
      </c>
      <c r="J80" s="129">
        <v>0</v>
      </c>
    </row>
    <row r="81" spans="1:10" x14ac:dyDescent="0.35">
      <c r="A81" s="294"/>
      <c r="B81" s="311"/>
      <c r="C81" s="312"/>
      <c r="D81" s="6" t="s">
        <v>1274</v>
      </c>
      <c r="E81" s="6"/>
      <c r="F81" s="6"/>
      <c r="G81" s="6"/>
      <c r="H81" s="129">
        <v>0</v>
      </c>
      <c r="I81" s="129">
        <v>0</v>
      </c>
      <c r="J81" s="129">
        <v>0</v>
      </c>
    </row>
    <row r="82" spans="1:10" x14ac:dyDescent="0.35">
      <c r="A82" s="294"/>
      <c r="B82" s="311"/>
      <c r="C82" s="312"/>
      <c r="D82" s="6" t="s">
        <v>1275</v>
      </c>
      <c r="E82" s="6"/>
      <c r="F82" s="6"/>
      <c r="G82" s="6"/>
      <c r="H82" s="129">
        <v>0</v>
      </c>
      <c r="I82" s="129">
        <v>0</v>
      </c>
      <c r="J82" s="129">
        <v>0</v>
      </c>
    </row>
    <row r="83" spans="1:10" x14ac:dyDescent="0.35">
      <c r="A83" s="294"/>
      <c r="B83" s="311"/>
      <c r="C83" s="312"/>
      <c r="D83" s="6" t="s">
        <v>1276</v>
      </c>
      <c r="E83" s="6"/>
      <c r="F83" s="6"/>
      <c r="G83" s="6"/>
      <c r="H83" s="129">
        <v>0</v>
      </c>
      <c r="I83" s="129">
        <v>0</v>
      </c>
      <c r="J83" s="129">
        <v>0</v>
      </c>
    </row>
    <row r="84" spans="1:10" x14ac:dyDescent="0.35">
      <c r="A84" s="294"/>
      <c r="B84" s="311"/>
      <c r="C84" s="312"/>
      <c r="D84" s="6" t="s">
        <v>1277</v>
      </c>
      <c r="E84" s="6"/>
      <c r="F84" s="6"/>
      <c r="G84" s="6"/>
      <c r="H84" s="129">
        <v>0</v>
      </c>
      <c r="I84" s="129">
        <v>0</v>
      </c>
      <c r="J84" s="129">
        <v>0</v>
      </c>
    </row>
    <row r="85" spans="1:10" x14ac:dyDescent="0.35">
      <c r="A85" s="294"/>
      <c r="B85" s="311"/>
      <c r="C85" s="312"/>
      <c r="D85" s="6" t="s">
        <v>1278</v>
      </c>
      <c r="E85" s="6"/>
      <c r="F85" s="6"/>
      <c r="G85" s="6"/>
      <c r="H85" s="129">
        <v>0</v>
      </c>
      <c r="I85" s="129">
        <v>0</v>
      </c>
      <c r="J85" s="129">
        <v>0</v>
      </c>
    </row>
    <row r="86" spans="1:10" x14ac:dyDescent="0.35">
      <c r="A86" s="294"/>
      <c r="B86" s="311"/>
      <c r="C86" s="312"/>
      <c r="D86" s="6" t="s">
        <v>1279</v>
      </c>
      <c r="E86" s="6"/>
      <c r="F86" s="6"/>
      <c r="G86" s="6"/>
      <c r="H86" s="129">
        <v>0</v>
      </c>
      <c r="I86" s="129">
        <v>0</v>
      </c>
      <c r="J86" s="129">
        <v>0</v>
      </c>
    </row>
    <row r="87" spans="1:10" x14ac:dyDescent="0.35">
      <c r="A87" s="294"/>
      <c r="B87" s="311"/>
      <c r="C87" s="312"/>
      <c r="D87" s="6" t="s">
        <v>1280</v>
      </c>
      <c r="E87" s="6"/>
      <c r="F87" s="6"/>
      <c r="G87" s="6"/>
      <c r="H87" s="129">
        <v>0</v>
      </c>
      <c r="I87" s="129">
        <v>0</v>
      </c>
      <c r="J87" s="129">
        <v>0</v>
      </c>
    </row>
    <row r="88" spans="1:10" x14ac:dyDescent="0.35">
      <c r="A88" s="294"/>
      <c r="B88" s="311"/>
      <c r="C88" s="312"/>
      <c r="D88" s="6" t="s">
        <v>1281</v>
      </c>
      <c r="E88" s="6"/>
      <c r="F88" s="6"/>
      <c r="G88" s="6"/>
      <c r="H88" s="129">
        <v>0</v>
      </c>
      <c r="I88" s="129">
        <v>0</v>
      </c>
      <c r="J88" s="129">
        <v>0</v>
      </c>
    </row>
    <row r="89" spans="1:10" x14ac:dyDescent="0.35">
      <c r="A89" s="294"/>
      <c r="B89" s="311"/>
      <c r="C89" s="312"/>
      <c r="D89" s="6" t="s">
        <v>1282</v>
      </c>
      <c r="E89" s="6"/>
      <c r="F89" s="6"/>
      <c r="G89" s="6"/>
      <c r="H89" s="129">
        <v>0</v>
      </c>
      <c r="I89" s="129">
        <v>0</v>
      </c>
      <c r="J89" s="129">
        <v>0</v>
      </c>
    </row>
    <row r="90" spans="1:10" x14ac:dyDescent="0.35">
      <c r="A90" s="294"/>
      <c r="B90" s="311"/>
      <c r="C90" s="312"/>
      <c r="D90" s="6" t="s">
        <v>1283</v>
      </c>
      <c r="E90" s="6"/>
      <c r="F90" s="6"/>
      <c r="G90" s="6"/>
      <c r="H90" s="129">
        <v>0</v>
      </c>
      <c r="I90" s="129">
        <v>0</v>
      </c>
      <c r="J90" s="129">
        <v>0</v>
      </c>
    </row>
    <row r="91" spans="1:10" x14ac:dyDescent="0.35">
      <c r="A91" s="294"/>
      <c r="B91" s="311"/>
      <c r="C91" s="312"/>
      <c r="D91" s="6" t="s">
        <v>1284</v>
      </c>
      <c r="E91" s="6"/>
      <c r="F91" s="6"/>
      <c r="G91" s="6"/>
      <c r="H91" s="129">
        <v>0</v>
      </c>
      <c r="I91" s="129">
        <v>0</v>
      </c>
      <c r="J91" s="129">
        <v>0</v>
      </c>
    </row>
    <row r="92" spans="1:10" x14ac:dyDescent="0.35">
      <c r="A92" s="294"/>
      <c r="B92" s="311"/>
      <c r="C92" s="312"/>
      <c r="D92" s="6" t="s">
        <v>1285</v>
      </c>
      <c r="E92" s="6"/>
      <c r="F92" s="6"/>
      <c r="G92" s="6"/>
      <c r="H92" s="129">
        <v>0</v>
      </c>
      <c r="I92" s="129">
        <v>0</v>
      </c>
      <c r="J92" s="129">
        <v>0</v>
      </c>
    </row>
    <row r="93" spans="1:10" x14ac:dyDescent="0.35">
      <c r="A93" s="294"/>
      <c r="B93" s="311"/>
      <c r="C93" s="312"/>
      <c r="D93" s="6" t="s">
        <v>1286</v>
      </c>
      <c r="E93" s="6"/>
      <c r="F93" s="6"/>
      <c r="G93" s="6"/>
      <c r="H93" s="129">
        <v>0</v>
      </c>
      <c r="I93" s="129">
        <v>0</v>
      </c>
      <c r="J93" s="129">
        <v>0</v>
      </c>
    </row>
    <row r="94" spans="1:10" x14ac:dyDescent="0.35">
      <c r="A94" s="294"/>
      <c r="B94" s="311"/>
      <c r="C94" s="312"/>
      <c r="D94" s="6" t="s">
        <v>1287</v>
      </c>
      <c r="E94" s="6"/>
      <c r="F94" s="6"/>
      <c r="G94" s="6"/>
      <c r="H94" s="129">
        <v>0</v>
      </c>
      <c r="I94" s="129">
        <v>0</v>
      </c>
      <c r="J94" s="129">
        <v>0</v>
      </c>
    </row>
    <row r="95" spans="1:10" x14ac:dyDescent="0.35">
      <c r="A95" s="294"/>
      <c r="B95" s="311"/>
      <c r="C95" s="312"/>
      <c r="D95" s="6" t="s">
        <v>1288</v>
      </c>
      <c r="E95" s="6"/>
      <c r="F95" s="6"/>
      <c r="G95" s="6"/>
      <c r="H95" s="129">
        <v>0</v>
      </c>
      <c r="I95" s="129">
        <v>0</v>
      </c>
      <c r="J95" s="129">
        <v>0</v>
      </c>
    </row>
    <row r="96" spans="1:10" x14ac:dyDescent="0.35">
      <c r="A96" s="294"/>
      <c r="B96" s="311"/>
      <c r="C96" s="312"/>
      <c r="D96" s="6" t="s">
        <v>1289</v>
      </c>
      <c r="E96" s="6"/>
      <c r="F96" s="6"/>
      <c r="G96" s="6"/>
      <c r="H96" s="129">
        <v>0</v>
      </c>
      <c r="I96" s="129">
        <v>0</v>
      </c>
      <c r="J96" s="129">
        <v>0</v>
      </c>
    </row>
    <row r="97" spans="1:10" x14ac:dyDescent="0.35">
      <c r="A97" s="294"/>
      <c r="B97" s="311"/>
      <c r="C97" s="312"/>
      <c r="D97" s="6" t="s">
        <v>1290</v>
      </c>
      <c r="E97" s="6"/>
      <c r="F97" s="6"/>
      <c r="G97" s="6"/>
      <c r="H97" s="129">
        <v>0</v>
      </c>
      <c r="I97" s="129">
        <v>0</v>
      </c>
      <c r="J97" s="129">
        <v>0</v>
      </c>
    </row>
    <row r="98" spans="1:10" x14ac:dyDescent="0.35">
      <c r="A98" s="294"/>
      <c r="B98" s="311"/>
      <c r="C98" s="312"/>
      <c r="D98" s="6" t="s">
        <v>1291</v>
      </c>
      <c r="E98" s="6"/>
      <c r="F98" s="6"/>
      <c r="G98" s="6"/>
      <c r="H98" s="129">
        <v>0</v>
      </c>
      <c r="I98" s="129">
        <v>0</v>
      </c>
      <c r="J98" s="129">
        <v>0</v>
      </c>
    </row>
    <row r="99" spans="1:10" x14ac:dyDescent="0.35">
      <c r="A99" s="294"/>
      <c r="B99" s="311"/>
      <c r="C99" s="312"/>
      <c r="D99" s="6" t="s">
        <v>1292</v>
      </c>
      <c r="E99" s="6"/>
      <c r="F99" s="6"/>
      <c r="G99" s="6"/>
      <c r="H99" s="129">
        <v>0</v>
      </c>
      <c r="I99" s="129">
        <v>0</v>
      </c>
      <c r="J99" s="129">
        <v>0</v>
      </c>
    </row>
    <row r="100" spans="1:10" x14ac:dyDescent="0.35">
      <c r="A100" s="294"/>
      <c r="B100" s="311"/>
      <c r="C100" s="312"/>
      <c r="D100" s="6" t="s">
        <v>1293</v>
      </c>
      <c r="E100" s="6"/>
      <c r="F100" s="6"/>
      <c r="G100" s="6"/>
      <c r="H100" s="129">
        <v>0</v>
      </c>
      <c r="I100" s="129">
        <v>0</v>
      </c>
      <c r="J100" s="129">
        <v>0</v>
      </c>
    </row>
    <row r="101" spans="1:10" x14ac:dyDescent="0.35">
      <c r="A101" s="294"/>
      <c r="B101" s="311"/>
      <c r="C101" s="312"/>
      <c r="D101" s="6" t="s">
        <v>1294</v>
      </c>
      <c r="E101" s="6"/>
      <c r="F101" s="6"/>
      <c r="G101" s="6"/>
      <c r="H101" s="129">
        <v>0</v>
      </c>
      <c r="I101" s="129">
        <v>0</v>
      </c>
      <c r="J101" s="129">
        <v>0</v>
      </c>
    </row>
    <row r="102" spans="1:10" x14ac:dyDescent="0.35">
      <c r="A102" s="294"/>
      <c r="B102" s="311"/>
      <c r="C102" s="312"/>
      <c r="D102" s="6" t="s">
        <v>1295</v>
      </c>
      <c r="E102" s="6"/>
      <c r="F102" s="6"/>
      <c r="G102" s="6"/>
      <c r="H102" s="129">
        <v>0</v>
      </c>
      <c r="I102" s="129">
        <v>0</v>
      </c>
      <c r="J102" s="129">
        <v>0</v>
      </c>
    </row>
    <row r="103" spans="1:10" x14ac:dyDescent="0.35">
      <c r="A103" s="294"/>
      <c r="B103" s="311"/>
      <c r="C103" s="312"/>
      <c r="D103" s="6" t="s">
        <v>1296</v>
      </c>
      <c r="E103" s="6"/>
      <c r="F103" s="6"/>
      <c r="G103" s="6"/>
      <c r="H103" s="129">
        <v>0</v>
      </c>
      <c r="I103" s="129">
        <v>0</v>
      </c>
      <c r="J103" s="129">
        <v>0</v>
      </c>
    </row>
    <row r="104" spans="1:10" x14ac:dyDescent="0.35">
      <c r="A104" s="294"/>
      <c r="B104" s="311"/>
      <c r="C104" s="312"/>
      <c r="D104" s="6" t="s">
        <v>1297</v>
      </c>
      <c r="E104" s="6"/>
      <c r="F104" s="6"/>
      <c r="G104" s="6"/>
      <c r="H104" s="129">
        <v>0</v>
      </c>
      <c r="I104" s="129">
        <v>0</v>
      </c>
      <c r="J104" s="129">
        <v>0</v>
      </c>
    </row>
    <row r="105" spans="1:10" x14ac:dyDescent="0.35">
      <c r="A105" s="294"/>
      <c r="B105" s="311"/>
      <c r="C105" s="312"/>
      <c r="D105" s="6" t="s">
        <v>1298</v>
      </c>
      <c r="E105" s="6"/>
      <c r="F105" s="6"/>
      <c r="G105" s="6"/>
      <c r="H105" s="129">
        <v>0</v>
      </c>
      <c r="I105" s="129">
        <v>0</v>
      </c>
      <c r="J105" s="129">
        <v>0</v>
      </c>
    </row>
    <row r="106" spans="1:10" x14ac:dyDescent="0.35">
      <c r="A106" s="294"/>
      <c r="B106" s="311"/>
      <c r="C106" s="312"/>
      <c r="D106" s="6" t="s">
        <v>1299</v>
      </c>
      <c r="E106" s="6"/>
      <c r="F106" s="6"/>
      <c r="G106" s="6"/>
      <c r="H106" s="129">
        <v>0</v>
      </c>
      <c r="I106" s="129">
        <v>0</v>
      </c>
      <c r="J106" s="129">
        <v>0</v>
      </c>
    </row>
    <row r="107" spans="1:10" x14ac:dyDescent="0.35">
      <c r="A107" s="294"/>
      <c r="B107" s="311"/>
      <c r="C107" s="312"/>
      <c r="D107" s="6" t="s">
        <v>1300</v>
      </c>
      <c r="E107" s="6"/>
      <c r="F107" s="6"/>
      <c r="G107" s="6"/>
      <c r="H107" s="129">
        <v>0</v>
      </c>
      <c r="I107" s="129">
        <v>0</v>
      </c>
      <c r="J107" s="129">
        <v>0</v>
      </c>
    </row>
    <row r="108" spans="1:10" x14ac:dyDescent="0.35">
      <c r="A108" s="294"/>
      <c r="B108" s="311"/>
      <c r="C108" s="312"/>
      <c r="D108" s="6" t="s">
        <v>1301</v>
      </c>
      <c r="E108" s="6"/>
      <c r="F108" s="6"/>
      <c r="G108" s="6"/>
      <c r="H108" s="129">
        <v>0</v>
      </c>
      <c r="I108" s="129">
        <v>0</v>
      </c>
      <c r="J108" s="129">
        <v>0</v>
      </c>
    </row>
    <row r="109" spans="1:10" x14ac:dyDescent="0.35">
      <c r="A109" s="294"/>
      <c r="B109" s="311"/>
      <c r="C109" s="312"/>
      <c r="D109" s="6" t="s">
        <v>1302</v>
      </c>
      <c r="E109" s="6"/>
      <c r="F109" s="6"/>
      <c r="G109" s="6"/>
      <c r="H109" s="129">
        <v>0</v>
      </c>
      <c r="I109" s="129">
        <v>0</v>
      </c>
      <c r="J109" s="129">
        <v>0</v>
      </c>
    </row>
    <row r="110" spans="1:10" x14ac:dyDescent="0.35">
      <c r="A110" s="294"/>
      <c r="B110" s="311"/>
      <c r="C110" s="312"/>
      <c r="D110" s="6" t="s">
        <v>1303</v>
      </c>
      <c r="E110" s="6"/>
      <c r="F110" s="6"/>
      <c r="G110" s="6"/>
      <c r="H110" s="129">
        <v>0</v>
      </c>
      <c r="I110" s="129">
        <v>0</v>
      </c>
      <c r="J110" s="129">
        <v>0</v>
      </c>
    </row>
    <row r="111" spans="1:10" x14ac:dyDescent="0.35">
      <c r="A111" s="294"/>
      <c r="B111" s="311"/>
      <c r="C111" s="312"/>
      <c r="D111" s="6" t="s">
        <v>1304</v>
      </c>
      <c r="E111" s="6"/>
      <c r="F111" s="6"/>
      <c r="G111" s="6"/>
      <c r="H111" s="129">
        <v>0</v>
      </c>
      <c r="I111" s="129">
        <v>0</v>
      </c>
      <c r="J111" s="129">
        <v>0</v>
      </c>
    </row>
    <row r="112" spans="1:10" x14ac:dyDescent="0.35">
      <c r="A112" s="294"/>
      <c r="B112" s="311"/>
      <c r="C112" s="312"/>
      <c r="D112" s="6" t="s">
        <v>1305</v>
      </c>
      <c r="E112" s="6"/>
      <c r="F112" s="6"/>
      <c r="G112" s="6"/>
      <c r="H112" s="129">
        <v>0</v>
      </c>
      <c r="I112" s="129">
        <v>0</v>
      </c>
      <c r="J112" s="129">
        <v>0</v>
      </c>
    </row>
    <row r="113" spans="1:10" x14ac:dyDescent="0.35">
      <c r="A113" s="294"/>
      <c r="B113" s="311"/>
      <c r="C113" s="312"/>
      <c r="D113" s="6" t="s">
        <v>1306</v>
      </c>
      <c r="E113" s="6"/>
      <c r="F113" s="6"/>
      <c r="G113" s="6"/>
      <c r="H113" s="129">
        <v>0</v>
      </c>
      <c r="I113" s="129">
        <v>0</v>
      </c>
      <c r="J113" s="129">
        <v>0</v>
      </c>
    </row>
    <row r="114" spans="1:10" x14ac:dyDescent="0.35">
      <c r="A114" s="294"/>
      <c r="B114" s="311"/>
      <c r="C114" s="312"/>
      <c r="D114" s="6" t="s">
        <v>1307</v>
      </c>
      <c r="E114" s="6"/>
      <c r="F114" s="6"/>
      <c r="G114" s="6"/>
      <c r="H114" s="129">
        <v>0</v>
      </c>
      <c r="I114" s="129">
        <v>0</v>
      </c>
      <c r="J114" s="129">
        <v>0</v>
      </c>
    </row>
    <row r="115" spans="1:10" x14ac:dyDescent="0.35">
      <c r="A115" s="294"/>
      <c r="B115" s="311"/>
      <c r="C115" s="312"/>
      <c r="D115" s="6" t="s">
        <v>1308</v>
      </c>
      <c r="E115" s="6"/>
      <c r="F115" s="6"/>
      <c r="G115" s="6"/>
      <c r="H115" s="129">
        <v>0</v>
      </c>
      <c r="I115" s="129">
        <v>0</v>
      </c>
      <c r="J115" s="129">
        <v>0</v>
      </c>
    </row>
    <row r="116" spans="1:10" x14ac:dyDescent="0.35">
      <c r="A116" s="294"/>
      <c r="B116" s="311"/>
      <c r="C116" s="312"/>
      <c r="D116" s="6" t="s">
        <v>1309</v>
      </c>
      <c r="E116" s="6"/>
      <c r="F116" s="6"/>
      <c r="G116" s="6"/>
      <c r="H116" s="129">
        <v>0</v>
      </c>
      <c r="I116" s="129">
        <v>0</v>
      </c>
      <c r="J116" s="129">
        <v>0</v>
      </c>
    </row>
    <row r="117" spans="1:10" x14ac:dyDescent="0.35">
      <c r="A117" s="294"/>
      <c r="B117" s="311"/>
      <c r="C117" s="312"/>
      <c r="D117" s="6" t="s">
        <v>1310</v>
      </c>
      <c r="E117" s="6"/>
      <c r="F117" s="6"/>
      <c r="G117" s="6"/>
      <c r="H117" s="129">
        <v>0</v>
      </c>
      <c r="I117" s="129">
        <v>0</v>
      </c>
      <c r="J117" s="129">
        <v>0</v>
      </c>
    </row>
    <row r="118" spans="1:10" x14ac:dyDescent="0.35">
      <c r="A118" s="294"/>
      <c r="B118" s="311"/>
      <c r="C118" s="312"/>
      <c r="D118" s="6" t="s">
        <v>1311</v>
      </c>
      <c r="E118" s="6"/>
      <c r="F118" s="6"/>
      <c r="G118" s="6"/>
      <c r="H118" s="129">
        <v>0</v>
      </c>
      <c r="I118" s="129">
        <v>0</v>
      </c>
      <c r="J118" s="129">
        <v>0</v>
      </c>
    </row>
    <row r="119" spans="1:10" x14ac:dyDescent="0.35">
      <c r="A119" s="294"/>
      <c r="B119" s="311"/>
      <c r="C119" s="312"/>
      <c r="D119" s="6" t="s">
        <v>1312</v>
      </c>
      <c r="E119" s="6"/>
      <c r="F119" s="6"/>
      <c r="G119" s="6"/>
      <c r="H119" s="129">
        <v>0</v>
      </c>
      <c r="I119" s="129">
        <v>0</v>
      </c>
      <c r="J119" s="129">
        <v>0</v>
      </c>
    </row>
    <row r="120" spans="1:10" x14ac:dyDescent="0.35">
      <c r="A120" s="294"/>
      <c r="B120" s="311"/>
      <c r="C120" s="312"/>
      <c r="D120" s="6" t="s">
        <v>1313</v>
      </c>
      <c r="E120" s="6"/>
      <c r="F120" s="6"/>
      <c r="G120" s="6"/>
      <c r="H120" s="129">
        <v>0</v>
      </c>
      <c r="I120" s="129">
        <v>0</v>
      </c>
      <c r="J120" s="129">
        <v>0</v>
      </c>
    </row>
    <row r="121" spans="1:10" x14ac:dyDescent="0.35">
      <c r="A121" s="294"/>
      <c r="B121" s="311"/>
      <c r="C121" s="312"/>
      <c r="D121" s="6" t="s">
        <v>1314</v>
      </c>
      <c r="E121" s="6"/>
      <c r="F121" s="6"/>
      <c r="G121" s="6"/>
      <c r="H121" s="129">
        <v>0</v>
      </c>
      <c r="I121" s="129">
        <v>0</v>
      </c>
      <c r="J121" s="129">
        <v>0</v>
      </c>
    </row>
    <row r="122" spans="1:10" x14ac:dyDescent="0.35">
      <c r="A122" s="294"/>
      <c r="B122" s="311"/>
      <c r="C122" s="312"/>
      <c r="D122" s="6" t="s">
        <v>1315</v>
      </c>
      <c r="E122" s="6"/>
      <c r="F122" s="6"/>
      <c r="G122" s="6"/>
      <c r="H122" s="129">
        <v>0</v>
      </c>
      <c r="I122" s="129">
        <v>0</v>
      </c>
      <c r="J122" s="129">
        <v>0</v>
      </c>
    </row>
    <row r="123" spans="1:10" x14ac:dyDescent="0.35">
      <c r="A123" s="294"/>
      <c r="B123" s="311"/>
      <c r="C123" s="312"/>
      <c r="D123" s="6" t="s">
        <v>1316</v>
      </c>
      <c r="E123" s="6"/>
      <c r="F123" s="6"/>
      <c r="G123" s="6"/>
      <c r="H123" s="129">
        <v>0</v>
      </c>
      <c r="I123" s="129">
        <v>0</v>
      </c>
      <c r="J123" s="129">
        <v>0</v>
      </c>
    </row>
    <row r="124" spans="1:10" x14ac:dyDescent="0.35">
      <c r="A124" s="294"/>
      <c r="B124" s="311"/>
      <c r="C124" s="312"/>
      <c r="D124" s="6" t="s">
        <v>1317</v>
      </c>
      <c r="E124" s="6"/>
      <c r="F124" s="6"/>
      <c r="G124" s="6"/>
      <c r="H124" s="129">
        <v>0</v>
      </c>
      <c r="I124" s="129">
        <v>0</v>
      </c>
      <c r="J124" s="129">
        <v>0</v>
      </c>
    </row>
    <row r="125" spans="1:10" x14ac:dyDescent="0.35">
      <c r="A125" s="294"/>
      <c r="B125" s="311"/>
      <c r="C125" s="312"/>
      <c r="D125" s="6" t="s">
        <v>1318</v>
      </c>
      <c r="E125" s="6"/>
      <c r="F125" s="6"/>
      <c r="G125" s="6"/>
      <c r="H125" s="129">
        <v>0</v>
      </c>
      <c r="I125" s="129">
        <v>0</v>
      </c>
      <c r="J125" s="129">
        <v>0</v>
      </c>
    </row>
    <row r="126" spans="1:10" x14ac:dyDescent="0.35">
      <c r="A126" s="294"/>
      <c r="B126" s="311"/>
      <c r="C126" s="312"/>
      <c r="D126" s="6" t="s">
        <v>1319</v>
      </c>
      <c r="E126" s="6"/>
      <c r="F126" s="6"/>
      <c r="G126" s="6"/>
      <c r="H126" s="129">
        <v>0</v>
      </c>
      <c r="I126" s="129">
        <v>0</v>
      </c>
      <c r="J126" s="129">
        <v>0</v>
      </c>
    </row>
    <row r="127" spans="1:10" x14ac:dyDescent="0.35">
      <c r="A127" s="294"/>
      <c r="B127" s="311"/>
      <c r="C127" s="312"/>
      <c r="D127" s="6" t="s">
        <v>1320</v>
      </c>
      <c r="E127" s="6"/>
      <c r="F127" s="6"/>
      <c r="G127" s="6"/>
      <c r="H127" s="129">
        <v>0</v>
      </c>
      <c r="I127" s="129">
        <v>0</v>
      </c>
      <c r="J127" s="129">
        <v>0</v>
      </c>
    </row>
    <row r="128" spans="1:10" x14ac:dyDescent="0.35">
      <c r="A128" s="294"/>
      <c r="B128" s="311"/>
      <c r="C128" s="312"/>
      <c r="D128" s="6" t="s">
        <v>1321</v>
      </c>
      <c r="E128" s="6"/>
      <c r="F128" s="6"/>
      <c r="G128" s="6"/>
      <c r="H128" s="129">
        <v>0</v>
      </c>
      <c r="I128" s="129">
        <v>0</v>
      </c>
      <c r="J128" s="129">
        <v>0</v>
      </c>
    </row>
    <row r="129" spans="1:10" x14ac:dyDescent="0.35">
      <c r="A129" s="294"/>
      <c r="B129" s="311"/>
      <c r="C129" s="312"/>
      <c r="D129" s="6" t="s">
        <v>1322</v>
      </c>
      <c r="E129" s="6"/>
      <c r="F129" s="6"/>
      <c r="G129" s="6"/>
      <c r="H129" s="129">
        <v>0</v>
      </c>
      <c r="I129" s="129">
        <v>0</v>
      </c>
      <c r="J129" s="129">
        <v>0</v>
      </c>
    </row>
    <row r="130" spans="1:10" x14ac:dyDescent="0.35">
      <c r="A130" s="294"/>
      <c r="B130" s="311"/>
      <c r="C130" s="312"/>
      <c r="D130" s="6" t="s">
        <v>1323</v>
      </c>
      <c r="E130" s="6"/>
      <c r="F130" s="6"/>
      <c r="G130" s="6"/>
      <c r="H130" s="129">
        <v>0</v>
      </c>
      <c r="I130" s="129">
        <v>0</v>
      </c>
      <c r="J130" s="129">
        <v>0</v>
      </c>
    </row>
    <row r="131" spans="1:10" x14ac:dyDescent="0.35">
      <c r="A131" s="294"/>
      <c r="B131" s="311"/>
      <c r="C131" s="312"/>
      <c r="D131" s="6" t="s">
        <v>1324</v>
      </c>
      <c r="E131" s="6"/>
      <c r="F131" s="6"/>
      <c r="G131" s="6"/>
      <c r="H131" s="129">
        <v>0</v>
      </c>
      <c r="I131" s="129">
        <v>0</v>
      </c>
      <c r="J131" s="129">
        <v>0</v>
      </c>
    </row>
    <row r="132" spans="1:10" x14ac:dyDescent="0.35">
      <c r="A132" s="294"/>
      <c r="B132" s="311"/>
      <c r="C132" s="312"/>
      <c r="D132" s="6" t="s">
        <v>1325</v>
      </c>
      <c r="E132" s="6"/>
      <c r="F132" s="6"/>
      <c r="G132" s="6"/>
      <c r="H132" s="129">
        <v>0</v>
      </c>
      <c r="I132" s="129">
        <v>0</v>
      </c>
      <c r="J132" s="129">
        <v>0</v>
      </c>
    </row>
    <row r="133" spans="1:10" x14ac:dyDescent="0.35">
      <c r="A133" s="294"/>
      <c r="B133" s="311"/>
      <c r="C133" s="312"/>
      <c r="D133" s="6" t="s">
        <v>1326</v>
      </c>
      <c r="E133" s="6"/>
      <c r="F133" s="6"/>
      <c r="G133" s="6"/>
      <c r="H133" s="129">
        <v>0</v>
      </c>
      <c r="I133" s="129">
        <v>0</v>
      </c>
      <c r="J133" s="129">
        <v>0</v>
      </c>
    </row>
    <row r="134" spans="1:10" x14ac:dyDescent="0.35">
      <c r="A134" s="294"/>
      <c r="B134" s="311"/>
      <c r="C134" s="312"/>
      <c r="D134" s="6" t="s">
        <v>1327</v>
      </c>
      <c r="E134" s="6"/>
      <c r="F134" s="6"/>
      <c r="G134" s="6"/>
      <c r="H134" s="129">
        <v>0</v>
      </c>
      <c r="I134" s="129">
        <v>0</v>
      </c>
      <c r="J134" s="129">
        <v>0</v>
      </c>
    </row>
    <row r="135" spans="1:10" x14ac:dyDescent="0.35">
      <c r="A135" s="294"/>
      <c r="B135" s="311"/>
      <c r="C135" s="312"/>
      <c r="D135" s="6" t="s">
        <v>1328</v>
      </c>
      <c r="E135" s="6"/>
      <c r="F135" s="6"/>
      <c r="G135" s="6"/>
      <c r="H135" s="129">
        <v>0</v>
      </c>
      <c r="I135" s="129">
        <v>0</v>
      </c>
      <c r="J135" s="129">
        <v>0</v>
      </c>
    </row>
    <row r="136" spans="1:10" x14ac:dyDescent="0.35">
      <c r="A136" s="294"/>
      <c r="B136" s="311"/>
      <c r="C136" s="312"/>
      <c r="D136" s="6" t="s">
        <v>1329</v>
      </c>
      <c r="E136" s="6"/>
      <c r="F136" s="6"/>
      <c r="G136" s="6"/>
      <c r="H136" s="129">
        <v>0</v>
      </c>
      <c r="I136" s="129">
        <v>0</v>
      </c>
      <c r="J136" s="129">
        <v>0</v>
      </c>
    </row>
    <row r="137" spans="1:10" x14ac:dyDescent="0.35">
      <c r="A137" s="294"/>
      <c r="B137" s="311"/>
      <c r="C137" s="312"/>
      <c r="D137" s="6" t="s">
        <v>1330</v>
      </c>
      <c r="E137" s="6"/>
      <c r="F137" s="6"/>
      <c r="G137" s="6"/>
      <c r="H137" s="129">
        <v>0</v>
      </c>
      <c r="I137" s="129">
        <v>0</v>
      </c>
      <c r="J137" s="129">
        <v>0</v>
      </c>
    </row>
    <row r="138" spans="1:10" x14ac:dyDescent="0.35">
      <c r="A138" s="294"/>
      <c r="B138" s="311"/>
      <c r="C138" s="312"/>
      <c r="D138" s="6" t="s">
        <v>1331</v>
      </c>
      <c r="E138" s="6"/>
      <c r="F138" s="6"/>
      <c r="G138" s="6"/>
      <c r="H138" s="129">
        <v>0</v>
      </c>
      <c r="I138" s="129">
        <v>0</v>
      </c>
      <c r="J138" s="129">
        <v>0</v>
      </c>
    </row>
    <row r="139" spans="1:10" x14ac:dyDescent="0.35">
      <c r="A139" s="294"/>
      <c r="B139" s="311"/>
      <c r="C139" s="312"/>
      <c r="D139" s="6" t="s">
        <v>1332</v>
      </c>
      <c r="E139" s="6"/>
      <c r="F139" s="6"/>
      <c r="G139" s="6"/>
      <c r="H139" s="129">
        <v>0</v>
      </c>
      <c r="I139" s="129">
        <v>0</v>
      </c>
      <c r="J139" s="129">
        <v>0</v>
      </c>
    </row>
    <row r="140" spans="1:10" x14ac:dyDescent="0.35">
      <c r="A140" s="294"/>
      <c r="B140" s="311"/>
      <c r="C140" s="312"/>
      <c r="D140" s="6" t="s">
        <v>1333</v>
      </c>
      <c r="E140" s="6"/>
      <c r="F140" s="6"/>
      <c r="G140" s="6"/>
      <c r="H140" s="129">
        <v>0</v>
      </c>
      <c r="I140" s="129">
        <v>0</v>
      </c>
      <c r="J140" s="129">
        <v>0</v>
      </c>
    </row>
    <row r="141" spans="1:10" x14ac:dyDescent="0.35">
      <c r="A141" s="294"/>
      <c r="B141" s="311"/>
      <c r="C141" s="312"/>
      <c r="D141" s="6" t="s">
        <v>1334</v>
      </c>
      <c r="E141" s="6"/>
      <c r="F141" s="6"/>
      <c r="G141" s="6"/>
      <c r="H141" s="129">
        <v>0</v>
      </c>
      <c r="I141" s="129">
        <v>0</v>
      </c>
      <c r="J141" s="129">
        <v>0</v>
      </c>
    </row>
    <row r="142" spans="1:10" x14ac:dyDescent="0.35">
      <c r="A142" s="294"/>
      <c r="B142" s="311"/>
      <c r="C142" s="312"/>
      <c r="D142" s="6" t="s">
        <v>1335</v>
      </c>
      <c r="E142" s="6"/>
      <c r="F142" s="6"/>
      <c r="G142" s="6"/>
      <c r="H142" s="129">
        <v>0</v>
      </c>
      <c r="I142" s="129">
        <v>0</v>
      </c>
      <c r="J142" s="129">
        <v>0</v>
      </c>
    </row>
    <row r="143" spans="1:10" x14ac:dyDescent="0.35">
      <c r="A143" s="294"/>
      <c r="B143" s="311"/>
      <c r="C143" s="312"/>
      <c r="D143" s="6" t="s">
        <v>1336</v>
      </c>
      <c r="E143" s="6"/>
      <c r="F143" s="6"/>
      <c r="G143" s="6"/>
      <c r="H143" s="129">
        <v>0</v>
      </c>
      <c r="I143" s="129">
        <v>0</v>
      </c>
      <c r="J143" s="129">
        <v>0</v>
      </c>
    </row>
    <row r="144" spans="1:10" x14ac:dyDescent="0.35">
      <c r="A144" s="294"/>
      <c r="B144" s="311"/>
      <c r="C144" s="312"/>
      <c r="D144" s="6" t="s">
        <v>1337</v>
      </c>
      <c r="E144" s="6"/>
      <c r="F144" s="6"/>
      <c r="G144" s="6"/>
      <c r="H144" s="129">
        <v>0</v>
      </c>
      <c r="I144" s="129">
        <v>0</v>
      </c>
      <c r="J144" s="129">
        <v>0</v>
      </c>
    </row>
    <row r="145" spans="1:10" x14ac:dyDescent="0.35">
      <c r="A145" s="294"/>
      <c r="B145" s="311"/>
      <c r="C145" s="312"/>
      <c r="D145" s="6" t="s">
        <v>1338</v>
      </c>
      <c r="E145" s="6"/>
      <c r="F145" s="6"/>
      <c r="G145" s="6"/>
      <c r="H145" s="129">
        <v>0</v>
      </c>
      <c r="I145" s="129">
        <v>0</v>
      </c>
      <c r="J145" s="129">
        <v>0</v>
      </c>
    </row>
    <row r="146" spans="1:10" x14ac:dyDescent="0.35">
      <c r="A146" s="294"/>
      <c r="B146" s="311"/>
      <c r="C146" s="312"/>
      <c r="D146" s="6" t="s">
        <v>1339</v>
      </c>
      <c r="E146" s="6"/>
      <c r="F146" s="6"/>
      <c r="G146" s="6"/>
      <c r="H146" s="129">
        <v>0</v>
      </c>
      <c r="I146" s="129">
        <v>0</v>
      </c>
      <c r="J146" s="129">
        <v>0</v>
      </c>
    </row>
    <row r="147" spans="1:10" x14ac:dyDescent="0.35">
      <c r="A147" s="294"/>
      <c r="B147" s="311"/>
      <c r="C147" s="312"/>
      <c r="D147" s="6" t="s">
        <v>1340</v>
      </c>
      <c r="E147" s="6"/>
      <c r="F147" s="6"/>
      <c r="G147" s="6"/>
      <c r="H147" s="129">
        <v>0</v>
      </c>
      <c r="I147" s="129">
        <v>0</v>
      </c>
      <c r="J147" s="129">
        <v>0</v>
      </c>
    </row>
    <row r="148" spans="1:10" x14ac:dyDescent="0.35">
      <c r="A148" s="294"/>
      <c r="B148" s="311"/>
      <c r="C148" s="312"/>
      <c r="D148" s="6" t="s">
        <v>1341</v>
      </c>
      <c r="E148" s="6"/>
      <c r="F148" s="6"/>
      <c r="G148" s="6"/>
      <c r="H148" s="129">
        <v>0</v>
      </c>
      <c r="I148" s="129">
        <v>0</v>
      </c>
      <c r="J148" s="129">
        <v>0</v>
      </c>
    </row>
    <row r="149" spans="1:10" x14ac:dyDescent="0.35">
      <c r="A149" s="294"/>
      <c r="B149" s="311"/>
      <c r="C149" s="312"/>
      <c r="D149" s="6" t="s">
        <v>1342</v>
      </c>
      <c r="E149" s="6"/>
      <c r="F149" s="6"/>
      <c r="G149" s="6"/>
      <c r="H149" s="129">
        <v>0</v>
      </c>
      <c r="I149" s="129">
        <v>0</v>
      </c>
      <c r="J149" s="129">
        <v>0</v>
      </c>
    </row>
    <row r="150" spans="1:10" x14ac:dyDescent="0.35">
      <c r="A150" s="294"/>
      <c r="B150" s="311"/>
      <c r="C150" s="312"/>
      <c r="D150" s="6" t="s">
        <v>1343</v>
      </c>
      <c r="E150" s="6"/>
      <c r="F150" s="6"/>
      <c r="G150" s="6"/>
      <c r="H150" s="129">
        <v>0</v>
      </c>
      <c r="I150" s="129">
        <v>0</v>
      </c>
      <c r="J150" s="129">
        <v>0</v>
      </c>
    </row>
    <row r="151" spans="1:10" x14ac:dyDescent="0.35">
      <c r="A151" s="294"/>
      <c r="B151" s="311"/>
      <c r="C151" s="312"/>
      <c r="D151" s="6" t="s">
        <v>1344</v>
      </c>
      <c r="E151" s="6"/>
      <c r="F151" s="6"/>
      <c r="G151" s="6"/>
      <c r="H151" s="129">
        <v>0</v>
      </c>
      <c r="I151" s="129">
        <v>0</v>
      </c>
      <c r="J151" s="129">
        <v>0</v>
      </c>
    </row>
    <row r="152" spans="1:10" x14ac:dyDescent="0.35">
      <c r="A152" s="294"/>
      <c r="B152" s="311"/>
      <c r="C152" s="312"/>
      <c r="D152" s="6" t="s">
        <v>1345</v>
      </c>
      <c r="E152" s="6"/>
      <c r="F152" s="6"/>
      <c r="G152" s="6"/>
      <c r="H152" s="129">
        <v>0</v>
      </c>
      <c r="I152" s="129">
        <v>0</v>
      </c>
      <c r="J152" s="129">
        <v>0</v>
      </c>
    </row>
    <row r="153" spans="1:10" x14ac:dyDescent="0.35">
      <c r="A153" s="294"/>
      <c r="B153" s="311"/>
      <c r="C153" s="312"/>
      <c r="D153" s="6" t="s">
        <v>1346</v>
      </c>
      <c r="E153" s="6"/>
      <c r="F153" s="6"/>
      <c r="G153" s="6"/>
      <c r="H153" s="129">
        <v>0</v>
      </c>
      <c r="I153" s="129">
        <v>0</v>
      </c>
      <c r="J153" s="129">
        <v>0</v>
      </c>
    </row>
    <row r="154" spans="1:10" x14ac:dyDescent="0.35">
      <c r="A154" s="294"/>
      <c r="B154" s="311"/>
      <c r="C154" s="312"/>
      <c r="D154" s="6" t="s">
        <v>1347</v>
      </c>
      <c r="E154" s="6"/>
      <c r="F154" s="6"/>
      <c r="G154" s="6"/>
      <c r="H154" s="129">
        <v>0</v>
      </c>
      <c r="I154" s="129">
        <v>0</v>
      </c>
      <c r="J154" s="129">
        <v>0</v>
      </c>
    </row>
    <row r="155" spans="1:10" x14ac:dyDescent="0.35">
      <c r="A155" s="294"/>
      <c r="B155" s="311"/>
      <c r="C155" s="312"/>
      <c r="D155" s="6" t="s">
        <v>1348</v>
      </c>
      <c r="E155" s="6"/>
      <c r="F155" s="6"/>
      <c r="G155" s="6"/>
      <c r="H155" s="129">
        <v>0</v>
      </c>
      <c r="I155" s="129">
        <v>0</v>
      </c>
      <c r="J155" s="129">
        <v>0</v>
      </c>
    </row>
    <row r="156" spans="1:10" x14ac:dyDescent="0.35">
      <c r="A156" s="294"/>
      <c r="B156" s="311"/>
      <c r="C156" s="312"/>
      <c r="D156" s="6" t="s">
        <v>1349</v>
      </c>
      <c r="E156" s="6"/>
      <c r="F156" s="6"/>
      <c r="G156" s="6"/>
      <c r="H156" s="129">
        <v>0</v>
      </c>
      <c r="I156" s="129">
        <v>0</v>
      </c>
      <c r="J156" s="129">
        <v>0</v>
      </c>
    </row>
    <row r="157" spans="1:10" x14ac:dyDescent="0.35">
      <c r="A157" s="294"/>
      <c r="B157" s="311"/>
      <c r="C157" s="312"/>
      <c r="D157" s="6" t="s">
        <v>1350</v>
      </c>
      <c r="E157" s="6"/>
      <c r="F157" s="6"/>
      <c r="G157" s="6"/>
      <c r="H157" s="129">
        <v>0</v>
      </c>
      <c r="I157" s="129">
        <v>0</v>
      </c>
      <c r="J157" s="129">
        <v>0</v>
      </c>
    </row>
    <row r="158" spans="1:10" x14ac:dyDescent="0.35">
      <c r="A158" s="294"/>
      <c r="B158" s="311"/>
      <c r="C158" s="312"/>
      <c r="D158" s="6" t="s">
        <v>1351</v>
      </c>
      <c r="E158" s="6"/>
      <c r="F158" s="6"/>
      <c r="G158" s="6"/>
      <c r="H158" s="129">
        <v>0</v>
      </c>
      <c r="I158" s="129">
        <v>0</v>
      </c>
      <c r="J158" s="129">
        <v>0</v>
      </c>
    </row>
    <row r="159" spans="1:10" x14ac:dyDescent="0.35">
      <c r="A159" s="294"/>
      <c r="B159" s="311"/>
      <c r="C159" s="312"/>
      <c r="D159" s="6" t="s">
        <v>1352</v>
      </c>
      <c r="E159" s="6"/>
      <c r="F159" s="6"/>
      <c r="G159" s="6"/>
      <c r="H159" s="129">
        <v>0</v>
      </c>
      <c r="I159" s="129">
        <v>0</v>
      </c>
      <c r="J159" s="129">
        <v>0</v>
      </c>
    </row>
    <row r="160" spans="1:10" x14ac:dyDescent="0.35">
      <c r="A160" s="294"/>
      <c r="B160" s="311"/>
      <c r="C160" s="312"/>
      <c r="D160" s="6" t="s">
        <v>1353</v>
      </c>
      <c r="E160" s="6"/>
      <c r="F160" s="6"/>
      <c r="G160" s="6"/>
      <c r="H160" s="129">
        <v>0</v>
      </c>
      <c r="I160" s="129">
        <v>0</v>
      </c>
      <c r="J160" s="129">
        <v>0</v>
      </c>
    </row>
    <row r="161" spans="1:10" x14ac:dyDescent="0.35">
      <c r="A161" s="294"/>
      <c r="B161" s="311"/>
      <c r="C161" s="312"/>
      <c r="D161" s="6" t="s">
        <v>1354</v>
      </c>
      <c r="E161" s="6"/>
      <c r="F161" s="6"/>
      <c r="G161" s="6"/>
      <c r="H161" s="129">
        <v>0</v>
      </c>
      <c r="I161" s="129">
        <v>0</v>
      </c>
      <c r="J161" s="129">
        <v>0</v>
      </c>
    </row>
    <row r="162" spans="1:10" x14ac:dyDescent="0.35">
      <c r="A162" s="294"/>
      <c r="B162" s="311"/>
      <c r="C162" s="312"/>
      <c r="D162" s="6" t="s">
        <v>1355</v>
      </c>
      <c r="E162" s="6"/>
      <c r="F162" s="6"/>
      <c r="G162" s="6"/>
      <c r="H162" s="129">
        <v>0</v>
      </c>
      <c r="I162" s="129">
        <v>0</v>
      </c>
      <c r="J162" s="129">
        <v>0</v>
      </c>
    </row>
    <row r="163" spans="1:10" x14ac:dyDescent="0.35">
      <c r="A163" s="294"/>
      <c r="B163" s="311"/>
      <c r="C163" s="312"/>
      <c r="D163" s="6" t="s">
        <v>1356</v>
      </c>
      <c r="E163" s="6"/>
      <c r="F163" s="6"/>
      <c r="G163" s="6"/>
      <c r="H163" s="129">
        <v>0</v>
      </c>
      <c r="I163" s="129">
        <v>0</v>
      </c>
      <c r="J163" s="129">
        <v>0</v>
      </c>
    </row>
    <row r="164" spans="1:10" x14ac:dyDescent="0.35">
      <c r="A164" s="294"/>
      <c r="B164" s="311"/>
      <c r="C164" s="312"/>
      <c r="D164" s="6" t="s">
        <v>1357</v>
      </c>
      <c r="E164" s="6"/>
      <c r="F164" s="6"/>
      <c r="G164" s="6"/>
      <c r="H164" s="129">
        <v>0</v>
      </c>
      <c r="I164" s="129">
        <v>0</v>
      </c>
      <c r="J164" s="129">
        <v>0</v>
      </c>
    </row>
    <row r="165" spans="1:10" x14ac:dyDescent="0.35">
      <c r="A165" s="294"/>
      <c r="B165" s="311"/>
      <c r="C165" s="312"/>
      <c r="D165" s="6" t="s">
        <v>1358</v>
      </c>
      <c r="E165" s="6"/>
      <c r="F165" s="6"/>
      <c r="G165" s="6"/>
      <c r="H165" s="129">
        <v>0</v>
      </c>
      <c r="I165" s="129">
        <v>0</v>
      </c>
      <c r="J165" s="129">
        <v>0</v>
      </c>
    </row>
    <row r="166" spans="1:10" x14ac:dyDescent="0.35">
      <c r="A166" s="294"/>
      <c r="B166" s="311"/>
      <c r="C166" s="312"/>
      <c r="D166" s="6" t="s">
        <v>1359</v>
      </c>
      <c r="E166" s="6"/>
      <c r="F166" s="6"/>
      <c r="G166" s="6"/>
      <c r="H166" s="129">
        <v>0</v>
      </c>
      <c r="I166" s="129">
        <v>0</v>
      </c>
      <c r="J166" s="129">
        <v>0</v>
      </c>
    </row>
    <row r="167" spans="1:10" x14ac:dyDescent="0.35">
      <c r="A167" s="294"/>
      <c r="B167" s="311"/>
      <c r="C167" s="312"/>
      <c r="D167" s="6" t="s">
        <v>1360</v>
      </c>
      <c r="E167" s="6"/>
      <c r="F167" s="6"/>
      <c r="G167" s="6"/>
      <c r="H167" s="129">
        <v>0</v>
      </c>
      <c r="I167" s="129">
        <v>0</v>
      </c>
      <c r="J167" s="129">
        <v>0</v>
      </c>
    </row>
    <row r="168" spans="1:10" x14ac:dyDescent="0.35">
      <c r="A168" s="294"/>
      <c r="B168" s="311"/>
      <c r="C168" s="312"/>
      <c r="D168" s="6" t="s">
        <v>1361</v>
      </c>
      <c r="E168" s="6"/>
      <c r="F168" s="6"/>
      <c r="G168" s="6"/>
      <c r="H168" s="129">
        <v>0</v>
      </c>
      <c r="I168" s="129">
        <v>0</v>
      </c>
      <c r="J168" s="129">
        <v>0</v>
      </c>
    </row>
    <row r="169" spans="1:10" x14ac:dyDescent="0.35">
      <c r="A169" s="294"/>
      <c r="B169" s="311"/>
      <c r="C169" s="312"/>
      <c r="D169" s="6" t="s">
        <v>1362</v>
      </c>
      <c r="E169" s="6"/>
      <c r="F169" s="6"/>
      <c r="G169" s="6"/>
      <c r="H169" s="129">
        <v>0</v>
      </c>
      <c r="I169" s="129">
        <v>0</v>
      </c>
      <c r="J169" s="129">
        <v>0</v>
      </c>
    </row>
    <row r="170" spans="1:10" x14ac:dyDescent="0.35">
      <c r="A170" s="294"/>
      <c r="B170" s="311"/>
      <c r="C170" s="312"/>
      <c r="D170" s="6" t="s">
        <v>1363</v>
      </c>
      <c r="E170" s="6"/>
      <c r="F170" s="6"/>
      <c r="G170" s="6"/>
      <c r="H170" s="129">
        <v>0</v>
      </c>
      <c r="I170" s="129">
        <v>0</v>
      </c>
      <c r="J170" s="129">
        <v>0</v>
      </c>
    </row>
  </sheetData>
  <sheetProtection algorithmName="SHA-512" hashValue="ifHVkNC5hcvCihZWvkSgN43sR3FIWZ2Mcj6rE8fymz1JocyHJVVNNe6DYVQh5A061vh+ZT+hwgn9UD21x/T44w==" saltValue="sTDc+F069uplAH8CjWFVTA==" spinCount="100000" sheet="1" objects="1"/>
  <mergeCells count="3">
    <mergeCell ref="B5:D5"/>
    <mergeCell ref="B21:D21"/>
    <mergeCell ref="B26:D26"/>
  </mergeCells>
  <dataValidations count="3">
    <dataValidation type="whole" operator="greaterThan" allowBlank="1" showInputMessage="1" showErrorMessage="1" errorTitle="Whole numbers allowed only" error="All monies should be independently rounded to the nearest £1,000." sqref="H6:J7 H9:J16" xr:uid="{00000000-0002-0000-1200-000000000000}">
      <formula1>-99999999</formula1>
    </dataValidation>
    <dataValidation type="decimal" operator="greaterThanOrEqual" allowBlank="1" showInputMessage="1" showErrorMessage="1" errorTitle="Numeric values only" error="Numeric values only" sqref="H22:J23" xr:uid="{00000000-0002-0000-1200-000001000000}">
      <formula1>0</formula1>
    </dataValidation>
    <dataValidation type="whole" operator="greaterThan" allowBlank="1" showInputMessage="1" showErrorMessage="1" errorTitle="Whole numbers only allowed" error="All values should be whole numbers" sqref="H30:J170" xr:uid="{00000000-0002-0000-1200-000002000000}">
      <formula1>-999999999</formula1>
    </dataValidation>
  </dataValidations>
  <printOptions headings="1" gridLines="1"/>
  <pageMargins left="0.31496062992125984" right="0.31496062992125984" top="0.35433070866141736" bottom="0.35433070866141736" header="0.31496062992125984" footer="0.31496062992125984"/>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6"/>
  <sheetViews>
    <sheetView workbookViewId="0">
      <selection activeCell="I11" sqref="I11"/>
    </sheetView>
  </sheetViews>
  <sheetFormatPr defaultColWidth="9.1796875" defaultRowHeight="12.5" x14ac:dyDescent="0.25"/>
  <cols>
    <col min="1" max="1" width="35.54296875" style="25" bestFit="1" customWidth="1"/>
    <col min="2" max="4" width="9.1796875" style="25" customWidth="1"/>
    <col min="5" max="5" width="13.81640625" style="25" bestFit="1" customWidth="1"/>
    <col min="6" max="8" width="9.1796875" style="25" customWidth="1"/>
    <col min="9" max="9" width="35.453125" style="25" bestFit="1" customWidth="1"/>
    <col min="10" max="10" width="29.1796875" style="25" customWidth="1"/>
    <col min="11" max="11" width="9.1796875" style="25" customWidth="1"/>
    <col min="12" max="16384" width="9.1796875" style="25"/>
  </cols>
  <sheetData>
    <row r="1" spans="1:10" customFormat="1" ht="15.5" customHeight="1" x14ac:dyDescent="0.35">
      <c r="A1" s="26" t="s">
        <v>96</v>
      </c>
      <c r="B1" s="27"/>
      <c r="E1" s="26" t="s">
        <v>97</v>
      </c>
      <c r="I1" s="185" t="s">
        <v>98</v>
      </c>
      <c r="J1" s="186" t="s">
        <v>99</v>
      </c>
    </row>
    <row r="2" spans="1:10" x14ac:dyDescent="0.25">
      <c r="A2" s="28" t="s">
        <v>100</v>
      </c>
      <c r="B2" s="27"/>
      <c r="E2" s="28"/>
      <c r="I2" s="29"/>
      <c r="J2" s="30"/>
    </row>
    <row r="3" spans="1:10" customFormat="1" ht="15.65" customHeight="1" thickBot="1" x14ac:dyDescent="0.4">
      <c r="A3" s="31" t="s">
        <v>101</v>
      </c>
      <c r="B3" s="27"/>
      <c r="E3" s="28" t="s">
        <v>101</v>
      </c>
      <c r="I3" s="187" t="s">
        <v>102</v>
      </c>
      <c r="J3" s="30"/>
    </row>
    <row r="4" spans="1:10" customFormat="1" ht="14.75" customHeight="1" thickBot="1" x14ac:dyDescent="0.4">
      <c r="E4" s="31" t="s">
        <v>100</v>
      </c>
      <c r="I4" s="29"/>
      <c r="J4" s="30"/>
    </row>
    <row r="5" spans="1:10" customFormat="1" ht="14.75" customHeight="1" thickBot="1" x14ac:dyDescent="0.4">
      <c r="A5" s="26" t="s">
        <v>103</v>
      </c>
      <c r="I5" s="32" t="s">
        <v>104</v>
      </c>
      <c r="J5" s="33"/>
    </row>
    <row r="6" spans="1:10" customFormat="1" ht="15.65" customHeight="1" thickBot="1" x14ac:dyDescent="0.4">
      <c r="A6" s="28" t="s">
        <v>105</v>
      </c>
    </row>
    <row r="7" spans="1:10" customFormat="1" ht="26.9" customHeight="1" x14ac:dyDescent="0.35">
      <c r="A7" s="28" t="s">
        <v>106</v>
      </c>
      <c r="I7" s="185" t="s">
        <v>107</v>
      </c>
    </row>
    <row r="8" spans="1:10" x14ac:dyDescent="0.25">
      <c r="A8" s="28" t="s">
        <v>108</v>
      </c>
    </row>
    <row r="9" spans="1:10" x14ac:dyDescent="0.25">
      <c r="A9" s="28" t="s">
        <v>109</v>
      </c>
    </row>
    <row r="10" spans="1:10" customFormat="1" ht="14.75" customHeight="1" thickBot="1" x14ac:dyDescent="0.4">
      <c r="A10" s="31" t="s">
        <v>110</v>
      </c>
    </row>
    <row r="11" spans="1:10" customFormat="1" ht="14.75" customHeight="1" thickBot="1" x14ac:dyDescent="0.4">
      <c r="A11" s="27" t="s">
        <v>111</v>
      </c>
    </row>
    <row r="12" spans="1:10" ht="13" x14ac:dyDescent="0.3">
      <c r="A12" s="26" t="s">
        <v>112</v>
      </c>
    </row>
    <row r="13" spans="1:10" x14ac:dyDescent="0.25">
      <c r="A13" s="28" t="s">
        <v>113</v>
      </c>
    </row>
    <row r="14" spans="1:10" x14ac:dyDescent="0.25">
      <c r="A14" s="28" t="s">
        <v>114</v>
      </c>
    </row>
    <row r="15" spans="1:10" x14ac:dyDescent="0.25">
      <c r="A15" s="28" t="s">
        <v>115</v>
      </c>
    </row>
    <row r="16" spans="1:10" customFormat="1" ht="14.75" customHeight="1" thickBot="1" x14ac:dyDescent="0.4">
      <c r="A16" s="31" t="s">
        <v>116</v>
      </c>
    </row>
  </sheetData>
  <printOptions headings="1" gridLines="1"/>
  <pageMargins left="0.70866141732283472" right="0.70866141732283472" top="0.74803149606299213" bottom="0.74803149606299213" header="0.31496062992125984" footer="0.31496062992125984"/>
  <pageSetup paperSize="9" scale="6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80DA-F50A-4C63-932A-120FE43D837E}">
  <sheetPr codeName="Sheet17">
    <pageSetUpPr fitToPage="1"/>
  </sheetPr>
  <dimension ref="A1:J42"/>
  <sheetViews>
    <sheetView workbookViewId="0">
      <selection activeCell="H16" sqref="H16"/>
    </sheetView>
  </sheetViews>
  <sheetFormatPr defaultColWidth="10" defaultRowHeight="12.5" x14ac:dyDescent="0.25"/>
  <cols>
    <col min="1" max="1" width="11.1796875" style="25" bestFit="1" customWidth="1"/>
    <col min="2" max="2" width="1.81640625" style="25" customWidth="1"/>
    <col min="3" max="3" width="2.81640625" style="25" customWidth="1"/>
    <col min="4" max="4" width="128.1796875" style="25" customWidth="1"/>
    <col min="5" max="5" width="0" style="25" hidden="1" customWidth="1"/>
    <col min="6" max="7" width="73.81640625" style="25" hidden="1" customWidth="1"/>
    <col min="8" max="8" width="17.81640625" style="25" customWidth="1"/>
    <col min="9" max="9" width="16.453125" style="25" customWidth="1"/>
    <col min="10" max="10" width="17.1796875" style="25" hidden="1" customWidth="1"/>
    <col min="11" max="11" width="10" style="25" customWidth="1"/>
    <col min="12" max="16384" width="10" style="25"/>
  </cols>
  <sheetData>
    <row r="1" spans="1:10" customFormat="1" ht="56.25" customHeight="1" x14ac:dyDescent="0.35">
      <c r="A1" s="634" t="s">
        <v>1364</v>
      </c>
      <c r="B1" s="275" t="s">
        <v>1365</v>
      </c>
      <c r="C1" s="275"/>
      <c r="D1" s="275"/>
      <c r="E1" s="275"/>
      <c r="F1" s="275"/>
      <c r="G1" s="275"/>
      <c r="H1" s="596" t="s">
        <v>1366</v>
      </c>
      <c r="I1" s="277" t="s">
        <v>599</v>
      </c>
      <c r="J1" s="277" t="s">
        <v>599</v>
      </c>
    </row>
    <row r="2" spans="1:10" customFormat="1" ht="41.25" customHeight="1" x14ac:dyDescent="0.35">
      <c r="A2" s="635"/>
      <c r="B2" s="347"/>
      <c r="C2" s="347"/>
      <c r="D2" s="347"/>
      <c r="E2" s="347"/>
      <c r="F2" s="347"/>
      <c r="G2" s="347"/>
      <c r="H2" s="599"/>
      <c r="I2" s="283" t="s">
        <v>600</v>
      </c>
      <c r="J2" s="283" t="s">
        <v>601</v>
      </c>
    </row>
    <row r="3" spans="1:10" customFormat="1" ht="30.5" customHeight="1" x14ac:dyDescent="0.35">
      <c r="A3" s="600"/>
      <c r="B3" s="285"/>
      <c r="C3" s="285"/>
      <c r="D3" s="285"/>
      <c r="E3" s="285"/>
      <c r="F3" s="286"/>
      <c r="G3" s="285"/>
      <c r="H3" s="287" t="str">
        <f>'Hide_me(drop_downs)'!I1</f>
        <v>Year ended 31 July 2025</v>
      </c>
      <c r="I3" s="288" t="str">
        <f>'Hide_me(drop_downs)'!J1</f>
        <v>Year ended 31 July 2024</v>
      </c>
      <c r="J3" s="288" t="str">
        <f>'Hide_me(drop_downs)'!J1</f>
        <v>Year ended 31 July 2024</v>
      </c>
    </row>
    <row r="4" spans="1:10" customFormat="1" ht="15.5" customHeight="1" x14ac:dyDescent="0.35">
      <c r="A4" s="636"/>
      <c r="B4" s="291"/>
      <c r="C4" s="291"/>
      <c r="D4" s="291"/>
      <c r="E4" s="291"/>
      <c r="F4" s="292"/>
      <c r="G4" s="292"/>
      <c r="H4" s="293" t="s">
        <v>607</v>
      </c>
      <c r="I4" s="288" t="s">
        <v>607</v>
      </c>
      <c r="J4" s="288" t="s">
        <v>607</v>
      </c>
    </row>
    <row r="5" spans="1:10" ht="13" x14ac:dyDescent="0.3">
      <c r="A5" s="294">
        <v>1</v>
      </c>
      <c r="B5" s="748" t="s">
        <v>1367</v>
      </c>
      <c r="C5" s="749"/>
      <c r="D5" s="749"/>
      <c r="E5" s="749"/>
      <c r="F5" s="750"/>
      <c r="G5" s="297"/>
      <c r="H5" s="298"/>
      <c r="I5" s="298"/>
      <c r="J5" s="298"/>
    </row>
    <row r="6" spans="1:10" x14ac:dyDescent="0.25">
      <c r="A6" s="294" t="s">
        <v>613</v>
      </c>
      <c r="B6" s="311"/>
      <c r="C6" s="742" t="s">
        <v>1368</v>
      </c>
      <c r="D6" s="742"/>
      <c r="E6" s="742"/>
      <c r="F6" s="743"/>
      <c r="G6" s="650"/>
      <c r="H6" s="306">
        <v>0</v>
      </c>
      <c r="I6" s="306">
        <v>0</v>
      </c>
      <c r="J6" s="306">
        <v>0</v>
      </c>
    </row>
    <row r="7" spans="1:10" x14ac:dyDescent="0.25">
      <c r="A7" s="294" t="s">
        <v>615</v>
      </c>
      <c r="B7" s="311"/>
      <c r="C7" s="742" t="s">
        <v>1369</v>
      </c>
      <c r="D7" s="742"/>
      <c r="E7" s="742"/>
      <c r="F7" s="743"/>
      <c r="G7" s="650"/>
      <c r="H7" s="306">
        <v>0</v>
      </c>
      <c r="I7" s="306">
        <v>0</v>
      </c>
      <c r="J7" s="306">
        <v>0</v>
      </c>
    </row>
    <row r="8" spans="1:10" x14ac:dyDescent="0.25">
      <c r="A8" s="294" t="s">
        <v>617</v>
      </c>
      <c r="B8" s="311"/>
      <c r="C8" s="742" t="s">
        <v>1370</v>
      </c>
      <c r="D8" s="742"/>
      <c r="E8" s="742"/>
      <c r="F8" s="743"/>
      <c r="G8" s="650"/>
      <c r="H8" s="306">
        <v>0</v>
      </c>
      <c r="I8" s="306">
        <v>0</v>
      </c>
      <c r="J8" s="306">
        <v>0</v>
      </c>
    </row>
    <row r="9" spans="1:10" customFormat="1" ht="14.75" customHeight="1" x14ac:dyDescent="0.35">
      <c r="A9" s="294" t="s">
        <v>619</v>
      </c>
      <c r="B9" s="311"/>
      <c r="C9" s="742" t="s">
        <v>1371</v>
      </c>
      <c r="D9" s="742"/>
      <c r="E9" s="742"/>
      <c r="F9" s="743"/>
      <c r="G9" s="301"/>
      <c r="H9" s="747" t="s">
        <v>1372</v>
      </c>
      <c r="I9" s="733"/>
    </row>
    <row r="10" spans="1:10" x14ac:dyDescent="0.25">
      <c r="A10" s="294" t="s">
        <v>621</v>
      </c>
      <c r="B10" s="311"/>
      <c r="C10" s="742" t="s">
        <v>1373</v>
      </c>
      <c r="D10" s="742"/>
      <c r="E10" s="742"/>
      <c r="F10" s="743"/>
      <c r="G10" s="650"/>
      <c r="H10" s="306">
        <v>0</v>
      </c>
      <c r="I10" s="306">
        <v>0</v>
      </c>
      <c r="J10" s="306">
        <v>0</v>
      </c>
    </row>
    <row r="11" spans="1:10" x14ac:dyDescent="0.25">
      <c r="A11" s="294"/>
      <c r="B11" s="312"/>
      <c r="C11" s="718"/>
      <c r="D11" s="718"/>
      <c r="E11" s="302"/>
      <c r="F11" s="303"/>
      <c r="G11" s="303"/>
      <c r="H11" s="651"/>
      <c r="I11" s="651"/>
      <c r="J11" s="651"/>
    </row>
    <row r="12" spans="1:10" ht="13" x14ac:dyDescent="0.3">
      <c r="A12" s="294">
        <v>2</v>
      </c>
      <c r="B12" s="652" t="s">
        <v>1374</v>
      </c>
      <c r="C12" s="610"/>
      <c r="D12" s="296"/>
      <c r="E12" s="296"/>
      <c r="F12" s="297"/>
      <c r="G12" s="297"/>
      <c r="H12" s="298"/>
      <c r="I12" s="298"/>
      <c r="J12" s="298"/>
    </row>
    <row r="13" spans="1:10" x14ac:dyDescent="0.25">
      <c r="A13" s="294" t="s">
        <v>628</v>
      </c>
      <c r="B13" s="311"/>
      <c r="C13" s="742" t="s">
        <v>1375</v>
      </c>
      <c r="D13" s="742"/>
      <c r="E13" s="742"/>
      <c r="F13" s="743"/>
      <c r="G13" s="650"/>
      <c r="H13" s="327"/>
      <c r="I13" s="327"/>
      <c r="J13" s="327"/>
    </row>
    <row r="14" spans="1:10" x14ac:dyDescent="0.25">
      <c r="A14" s="294" t="s">
        <v>970</v>
      </c>
      <c r="B14" s="391"/>
      <c r="C14" s="301"/>
      <c r="D14" s="742" t="s">
        <v>1376</v>
      </c>
      <c r="E14" s="742"/>
      <c r="F14" s="743"/>
      <c r="G14" s="650"/>
      <c r="H14" s="306">
        <v>568</v>
      </c>
      <c r="I14" s="306">
        <v>0</v>
      </c>
      <c r="J14" s="306">
        <v>0</v>
      </c>
    </row>
    <row r="15" spans="1:10" x14ac:dyDescent="0.25">
      <c r="A15" s="294" t="s">
        <v>972</v>
      </c>
      <c r="B15" s="391"/>
      <c r="C15" s="301"/>
      <c r="D15" s="742" t="s">
        <v>1377</v>
      </c>
      <c r="E15" s="742"/>
      <c r="F15" s="743"/>
      <c r="G15" s="650"/>
      <c r="H15" s="306">
        <v>8</v>
      </c>
      <c r="I15" s="306">
        <v>0</v>
      </c>
      <c r="J15" s="306">
        <v>0</v>
      </c>
    </row>
    <row r="16" spans="1:10" x14ac:dyDescent="0.25">
      <c r="A16" s="294" t="s">
        <v>630</v>
      </c>
      <c r="B16" s="311"/>
      <c r="C16" s="742" t="s">
        <v>1378</v>
      </c>
      <c r="D16" s="742"/>
      <c r="E16" s="742"/>
      <c r="F16" s="743"/>
      <c r="G16" s="650"/>
      <c r="H16" s="653"/>
      <c r="I16" s="653"/>
      <c r="J16" s="653"/>
    </row>
    <row r="17" spans="1:10" x14ac:dyDescent="0.25">
      <c r="A17" s="294" t="s">
        <v>970</v>
      </c>
      <c r="B17" s="301"/>
      <c r="C17" s="301"/>
      <c r="D17" s="742" t="s">
        <v>1376</v>
      </c>
      <c r="E17" s="742"/>
      <c r="F17" s="743"/>
      <c r="G17" s="650"/>
      <c r="H17" s="306">
        <v>0</v>
      </c>
      <c r="I17" s="306">
        <v>0</v>
      </c>
      <c r="J17" s="306">
        <v>0</v>
      </c>
    </row>
    <row r="18" spans="1:10" x14ac:dyDescent="0.25">
      <c r="A18" s="294" t="s">
        <v>972</v>
      </c>
      <c r="B18" s="312"/>
      <c r="C18" s="312"/>
      <c r="D18" s="742" t="s">
        <v>1377</v>
      </c>
      <c r="E18" s="742"/>
      <c r="F18" s="743"/>
      <c r="G18" s="650"/>
      <c r="H18" s="306">
        <v>0</v>
      </c>
      <c r="I18" s="306">
        <v>0</v>
      </c>
      <c r="J18" s="306">
        <v>0</v>
      </c>
    </row>
    <row r="19" spans="1:10" customFormat="1" ht="14.5" x14ac:dyDescent="0.35">
      <c r="A19" s="25"/>
      <c r="B19" s="25"/>
      <c r="C19" s="25"/>
      <c r="D19" s="25"/>
      <c r="E19" s="25"/>
      <c r="F19" s="25"/>
      <c r="G19" s="25"/>
      <c r="H19" s="25"/>
      <c r="I19" s="25"/>
      <c r="J19" s="25"/>
    </row>
    <row r="20" spans="1:10" x14ac:dyDescent="0.25">
      <c r="A20" s="294">
        <v>3</v>
      </c>
      <c r="B20" s="744" t="s">
        <v>1379</v>
      </c>
      <c r="C20" s="745"/>
      <c r="D20" s="745"/>
      <c r="E20" s="745"/>
      <c r="F20" s="746"/>
      <c r="G20" s="650"/>
      <c r="H20" s="306" t="s">
        <v>101</v>
      </c>
      <c r="I20" s="306" t="s">
        <v>100</v>
      </c>
      <c r="J20" s="327"/>
    </row>
    <row r="42" spans="3:3" x14ac:dyDescent="0.25">
      <c r="C42" s="141"/>
    </row>
  </sheetData>
  <sheetProtection algorithmName="SHA-512" hashValue="zalfY8RWfFWipXypV5One45q3zRHnaO0+DC5zsk1yv3+5EdbfIh4nv+b69d9sw6SdGrfMW6T8xRemcPT7HHDfA==" saltValue="ittCFO/lwVNgUqlWqxWpvQ==" spinCount="100000" sheet="1" objects="1"/>
  <mergeCells count="15">
    <mergeCell ref="B5:F5"/>
    <mergeCell ref="C6:F6"/>
    <mergeCell ref="C7:F7"/>
    <mergeCell ref="C8:F8"/>
    <mergeCell ref="C9:F9"/>
    <mergeCell ref="H9:I9"/>
    <mergeCell ref="C10:F10"/>
    <mergeCell ref="C11:D11"/>
    <mergeCell ref="C13:F13"/>
    <mergeCell ref="D14:F14"/>
    <mergeCell ref="D15:F15"/>
    <mergeCell ref="C16:F16"/>
    <mergeCell ref="D17:F17"/>
    <mergeCell ref="D18:F18"/>
    <mergeCell ref="B20:F20"/>
  </mergeCells>
  <dataValidations count="3">
    <dataValidation type="whole" operator="greaterThan" allowBlank="1" showInputMessage="1" showErrorMessage="1" errorTitle="Whole numbers allowed only" error="All monies should be independently rounded to the nearest £1,000." sqref="H6:J8 H10:J10 H14:J14 H17:J17" xr:uid="{00000000-0002-0000-1300-000000000000}">
      <formula1>-99999999</formula1>
    </dataValidation>
    <dataValidation type="whole" operator="greaterThanOrEqual" allowBlank="1" showInputMessage="1" showErrorMessage="1" errorTitle="Whole numbers only" error="Whole numbers only." sqref="H15:J15 H18:J18" xr:uid="{00000000-0002-0000-1300-000001000000}">
      <formula1>0</formula1>
    </dataValidation>
    <dataValidation type="textLength" allowBlank="1" showInputMessage="1" showErrorMessage="1" errorTitle="Maximum 255 text characters" error="Only text up to 255 characters is allowed here." promptTitle="Maximum 255 text characters" sqref="H9:I9" xr:uid="{00000000-0002-0000-1300-000002000000}">
      <formula1>0</formula1>
      <formula2>255</formula2>
    </dataValidation>
  </dataValidations>
  <printOptions headings="1" gridLines="1"/>
  <pageMargins left="0.31496062992125984" right="0.31496062992125984"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F512807-334C-4D28-AD93-7DC13102BFE7}">
          <x14:formula1>
            <xm:f>'Hide_me(drop_downs)'!$A$2:$A$3</xm:f>
          </x14:formula1>
          <xm:sqref>H20 I20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J42"/>
  <sheetViews>
    <sheetView workbookViewId="0">
      <selection activeCell="E1" sqref="E1 E1:F1048576"/>
    </sheetView>
  </sheetViews>
  <sheetFormatPr defaultColWidth="9.1796875" defaultRowHeight="12.5" x14ac:dyDescent="0.25"/>
  <cols>
    <col min="1" max="1" width="9.1796875" style="27" customWidth="1"/>
    <col min="2" max="2" width="36.54296875" style="27" customWidth="1"/>
    <col min="3" max="3" width="26.81640625" style="27" customWidth="1"/>
    <col min="4" max="4" width="130.453125" style="27" customWidth="1"/>
    <col min="5" max="5" width="16.453125" style="27" hidden="1" customWidth="1"/>
    <col min="6" max="6" width="19.54296875" style="27" hidden="1" customWidth="1"/>
    <col min="7" max="7" width="10.81640625" style="27" bestFit="1" customWidth="1"/>
    <col min="8" max="8" width="12.81640625" style="27" bestFit="1" customWidth="1"/>
    <col min="9" max="9" width="18" style="27" customWidth="1"/>
    <col min="10" max="10" width="9.1796875" style="27" customWidth="1"/>
    <col min="11" max="16384" width="9.1796875" style="27"/>
  </cols>
  <sheetData>
    <row r="1" spans="1:10" customFormat="1" ht="15.5" customHeight="1" x14ac:dyDescent="0.35">
      <c r="A1" s="654" t="s">
        <v>1380</v>
      </c>
      <c r="B1" s="654"/>
      <c r="C1" s="655"/>
      <c r="D1" s="655"/>
      <c r="E1" s="654"/>
      <c r="F1" s="656"/>
      <c r="G1" s="655"/>
      <c r="H1" s="655"/>
      <c r="I1" s="657"/>
      <c r="J1" s="25"/>
    </row>
    <row r="2" spans="1:10" customFormat="1" ht="15.65" customHeight="1" thickBot="1" x14ac:dyDescent="0.4">
      <c r="A2" s="654"/>
      <c r="B2" s="658"/>
      <c r="C2" s="658"/>
      <c r="D2" s="655"/>
      <c r="E2" s="756" t="s">
        <v>1135</v>
      </c>
      <c r="F2" s="757"/>
      <c r="G2" s="659"/>
      <c r="H2" s="659"/>
      <c r="I2" s="660"/>
      <c r="J2" s="25"/>
    </row>
    <row r="3" spans="1:10" ht="13" x14ac:dyDescent="0.3">
      <c r="A3" s="661"/>
      <c r="B3" s="662"/>
      <c r="C3" s="663"/>
      <c r="D3" s="663"/>
      <c r="E3" s="664"/>
      <c r="F3" s="664"/>
      <c r="G3" s="664"/>
      <c r="H3" s="664"/>
      <c r="I3" s="665"/>
      <c r="J3" s="25"/>
    </row>
    <row r="4" spans="1:10" customFormat="1" ht="26.15" customHeight="1" x14ac:dyDescent="0.35">
      <c r="A4" s="131" t="s">
        <v>1381</v>
      </c>
      <c r="B4" s="758" t="s">
        <v>1382</v>
      </c>
      <c r="C4" s="759"/>
      <c r="D4" s="1" t="s">
        <v>1383</v>
      </c>
      <c r="E4" s="132" t="s">
        <v>1384</v>
      </c>
      <c r="F4" s="132" t="s">
        <v>1385</v>
      </c>
      <c r="G4" s="2" t="s">
        <v>1386</v>
      </c>
      <c r="H4" s="2" t="s">
        <v>1387</v>
      </c>
      <c r="I4" s="133" t="s">
        <v>608</v>
      </c>
      <c r="J4" s="25"/>
    </row>
    <row r="5" spans="1:10" x14ac:dyDescent="0.25">
      <c r="A5" s="666">
        <v>1</v>
      </c>
      <c r="B5" s="751" t="s">
        <v>1388</v>
      </c>
      <c r="C5" s="752"/>
      <c r="D5" s="142" t="s">
        <v>1389</v>
      </c>
      <c r="E5" s="134">
        <v>1</v>
      </c>
      <c r="F5" s="135">
        <v>0</v>
      </c>
      <c r="G5" s="136">
        <f>Table_1_UK!H22</f>
        <v>20012</v>
      </c>
      <c r="H5" s="136">
        <f>Table_1_UK!H12</f>
        <v>1476368</v>
      </c>
      <c r="I5" s="137">
        <f t="shared" ref="I5:I12" si="0">ROUND(IF(H5=0,0,(100*G5)/H5),2)</f>
        <v>1.36</v>
      </c>
      <c r="J5" s="25"/>
    </row>
    <row r="6" spans="1:10" x14ac:dyDescent="0.25">
      <c r="A6" s="666" t="s">
        <v>613</v>
      </c>
      <c r="B6" s="751" t="s">
        <v>1390</v>
      </c>
      <c r="C6" s="752"/>
      <c r="D6" s="142" t="s">
        <v>1391</v>
      </c>
      <c r="E6" s="134">
        <v>1</v>
      </c>
      <c r="F6" s="135">
        <v>1</v>
      </c>
      <c r="G6" s="136">
        <f>Table_1_UK!H22+Table_11_UK!H14+Table_11_UK!H15</f>
        <v>20012</v>
      </c>
      <c r="H6" s="136">
        <f>Table_1_UK!H12</f>
        <v>1476368</v>
      </c>
      <c r="I6" s="137">
        <f t="shared" si="0"/>
        <v>1.36</v>
      </c>
      <c r="J6" s="25"/>
    </row>
    <row r="7" spans="1:10" x14ac:dyDescent="0.25">
      <c r="A7" s="667">
        <v>2</v>
      </c>
      <c r="B7" s="751" t="s">
        <v>1392</v>
      </c>
      <c r="C7" s="752"/>
      <c r="D7" s="162" t="s">
        <v>1393</v>
      </c>
      <c r="E7" s="134">
        <v>2</v>
      </c>
      <c r="F7" s="163">
        <v>0</v>
      </c>
      <c r="G7" s="164">
        <f>Table_1_UK!H15</f>
        <v>829295</v>
      </c>
      <c r="H7" s="164">
        <f>Table_1_UK!H12</f>
        <v>1476368</v>
      </c>
      <c r="I7" s="137">
        <f t="shared" si="0"/>
        <v>56.17</v>
      </c>
      <c r="J7" s="25"/>
    </row>
    <row r="8" spans="1:10" x14ac:dyDescent="0.25">
      <c r="A8" s="667" t="s">
        <v>628</v>
      </c>
      <c r="B8" s="751" t="s">
        <v>1394</v>
      </c>
      <c r="C8" s="752"/>
      <c r="D8" s="162" t="s">
        <v>1395</v>
      </c>
      <c r="E8" s="134">
        <v>2</v>
      </c>
      <c r="F8" s="163">
        <v>1</v>
      </c>
      <c r="G8" s="164">
        <f>Table_1_UK!H15-Table_11_UK!H14-Table_11_UK!H15</f>
        <v>829295</v>
      </c>
      <c r="H8" s="164">
        <f>Table_1_UK!H12</f>
        <v>1476368</v>
      </c>
      <c r="I8" s="137">
        <f t="shared" si="0"/>
        <v>56.17</v>
      </c>
      <c r="J8" s="25"/>
    </row>
    <row r="9" spans="1:10" x14ac:dyDescent="0.25">
      <c r="A9" s="667">
        <v>3</v>
      </c>
      <c r="B9" s="753" t="s">
        <v>1396</v>
      </c>
      <c r="C9" s="755"/>
      <c r="D9" s="3" t="s">
        <v>1397</v>
      </c>
      <c r="E9" s="134">
        <v>3</v>
      </c>
      <c r="F9" s="163">
        <v>0</v>
      </c>
      <c r="G9" s="164">
        <f>Table_7_UK!L68</f>
        <v>92031</v>
      </c>
      <c r="H9" s="164">
        <f>Table_1_UK!H20</f>
        <v>1456356</v>
      </c>
      <c r="I9" s="137">
        <f t="shared" si="0"/>
        <v>6.32</v>
      </c>
      <c r="J9" s="25"/>
    </row>
    <row r="10" spans="1:10" x14ac:dyDescent="0.25">
      <c r="A10" s="667" t="s">
        <v>123</v>
      </c>
      <c r="B10" s="753" t="s">
        <v>1398</v>
      </c>
      <c r="C10" s="755"/>
      <c r="D10" s="3" t="s">
        <v>1399</v>
      </c>
      <c r="E10" s="134">
        <v>3</v>
      </c>
      <c r="F10" s="163">
        <v>1</v>
      </c>
      <c r="G10" s="164">
        <f>Table_7_UK!L68</f>
        <v>92031</v>
      </c>
      <c r="H10" s="164">
        <f>Table_1_UK!H20-Table_11_UK!H14-Table_11_UK!H15</f>
        <v>1456356</v>
      </c>
      <c r="I10" s="137">
        <f t="shared" si="0"/>
        <v>6.32</v>
      </c>
      <c r="J10" s="25"/>
    </row>
    <row r="11" spans="1:10" x14ac:dyDescent="0.25">
      <c r="A11" s="667">
        <v>4</v>
      </c>
      <c r="B11" s="751" t="s">
        <v>1400</v>
      </c>
      <c r="C11" s="752"/>
      <c r="D11" s="162" t="s">
        <v>1401</v>
      </c>
      <c r="E11" s="134">
        <v>4</v>
      </c>
      <c r="F11" s="163">
        <v>0</v>
      </c>
      <c r="G11" s="164">
        <f>Table_2_UK!H64+Table_2_UK!H65</f>
        <v>2433012</v>
      </c>
      <c r="H11" s="164">
        <f>Table_1_UK!H12</f>
        <v>1476368</v>
      </c>
      <c r="I11" s="137">
        <f t="shared" si="0"/>
        <v>164.8</v>
      </c>
      <c r="J11" s="25"/>
    </row>
    <row r="12" spans="1:10" customFormat="1" ht="18.649999999999999" customHeight="1" x14ac:dyDescent="0.35">
      <c r="A12" s="667">
        <v>5</v>
      </c>
      <c r="B12" s="751" t="s">
        <v>1402</v>
      </c>
      <c r="C12" s="752"/>
      <c r="D12" s="162" t="s">
        <v>1403</v>
      </c>
      <c r="E12" s="165">
        <v>5</v>
      </c>
      <c r="F12" s="166">
        <v>0</v>
      </c>
      <c r="G12" s="164">
        <f>Table_2_UK!H29+Table_2_UK!H30+Table_2_UK!H31+Table_2_UK!H34+Table_2_UK!H35+Table_2_UK!H46+Table_2_UK!H47+Table_2_UK!H48+Table_2_UK!H49</f>
        <v>537945</v>
      </c>
      <c r="H12" s="167">
        <f>Table_1_UK!H12</f>
        <v>1476368</v>
      </c>
      <c r="I12" s="137">
        <f t="shared" si="0"/>
        <v>36.44</v>
      </c>
      <c r="J12" s="25"/>
    </row>
    <row r="13" spans="1:10" x14ac:dyDescent="0.25">
      <c r="A13" s="667">
        <v>6</v>
      </c>
      <c r="B13" s="753" t="s">
        <v>1404</v>
      </c>
      <c r="C13" s="754"/>
      <c r="D13" s="168" t="s">
        <v>1405</v>
      </c>
      <c r="E13" s="165">
        <v>6</v>
      </c>
      <c r="F13" s="166">
        <v>0</v>
      </c>
      <c r="G13" s="167">
        <f>Table_2_UK!H58</f>
        <v>3125830</v>
      </c>
      <c r="H13" s="167">
        <f>Table_1_UK!H20</f>
        <v>1456356</v>
      </c>
      <c r="I13" s="137">
        <f>ROUND(IF(H13=0,0,(365*G13)/H13),1)</f>
        <v>783.4</v>
      </c>
      <c r="J13" s="25"/>
    </row>
    <row r="14" spans="1:10" x14ac:dyDescent="0.25">
      <c r="A14" s="667" t="s">
        <v>136</v>
      </c>
      <c r="B14" s="753" t="s">
        <v>1406</v>
      </c>
      <c r="C14" s="754"/>
      <c r="D14" s="168" t="s">
        <v>1407</v>
      </c>
      <c r="E14" s="165">
        <v>6</v>
      </c>
      <c r="F14" s="166">
        <v>1</v>
      </c>
      <c r="G14" s="167">
        <f>Table_2_UK!H58</f>
        <v>3125830</v>
      </c>
      <c r="H14" s="167">
        <f>Table_1_UK!H20-Table_11_UK!H14-Table_11_UK!H15</f>
        <v>1456356</v>
      </c>
      <c r="I14" s="137">
        <f>ROUND(IF(H14=0,0,(365*G14)/H14),1)</f>
        <v>783.4</v>
      </c>
      <c r="J14" s="25"/>
    </row>
    <row r="15" spans="1:10" x14ac:dyDescent="0.25">
      <c r="A15" s="667">
        <v>7</v>
      </c>
      <c r="B15" s="753" t="s">
        <v>1408</v>
      </c>
      <c r="C15" s="754"/>
      <c r="D15" s="169" t="s">
        <v>1409</v>
      </c>
      <c r="E15" s="165">
        <v>7</v>
      </c>
      <c r="F15" s="166">
        <v>0</v>
      </c>
      <c r="G15" s="167">
        <f>Table_2_UK!H26</f>
        <v>702858</v>
      </c>
      <c r="H15" s="167">
        <f>Table_2_UK!H37</f>
        <v>484298</v>
      </c>
      <c r="I15" s="170">
        <f>ROUND(IF(H15=0,0,G15/H15),2)</f>
        <v>1.45</v>
      </c>
      <c r="J15" s="25"/>
    </row>
    <row r="16" spans="1:10" x14ac:dyDescent="0.25">
      <c r="A16" s="667">
        <v>8</v>
      </c>
      <c r="B16" s="751" t="s">
        <v>1410</v>
      </c>
      <c r="C16" s="752"/>
      <c r="D16" s="162" t="s">
        <v>1411</v>
      </c>
      <c r="E16" s="165">
        <v>8</v>
      </c>
      <c r="F16" s="166">
        <v>0</v>
      </c>
      <c r="G16" s="167">
        <f>Table_3_UK!H36</f>
        <v>52868</v>
      </c>
      <c r="H16" s="167">
        <f>Table_1_UK!H12</f>
        <v>1476368</v>
      </c>
      <c r="I16" s="137">
        <f>ROUND(IF(H16=0,0,(100*G16)/H16),2)</f>
        <v>3.58</v>
      </c>
      <c r="J16" s="25"/>
    </row>
    <row r="17" spans="1:10" x14ac:dyDescent="0.25">
      <c r="A17" s="667">
        <v>9</v>
      </c>
      <c r="B17" s="751" t="s">
        <v>1412</v>
      </c>
      <c r="C17" s="752"/>
      <c r="D17" s="162" t="s">
        <v>1413</v>
      </c>
      <c r="E17" s="165">
        <v>9</v>
      </c>
      <c r="F17" s="166">
        <v>0</v>
      </c>
      <c r="G17" s="167">
        <f>Table_2_UK!H21+Table_2_UK!H22-Table_2_UK!H29</f>
        <v>355998</v>
      </c>
      <c r="H17" s="167">
        <f>Table_1_UK!H20-Table_1_UK!H18</f>
        <v>1348879</v>
      </c>
      <c r="I17" s="137">
        <f>ROUND(IF(H17=0,0,(365*G17)/H17),2)</f>
        <v>96.33</v>
      </c>
      <c r="J17" s="25"/>
    </row>
    <row r="18" spans="1:10" x14ac:dyDescent="0.25">
      <c r="A18" s="667" t="s">
        <v>1414</v>
      </c>
      <c r="B18" s="751" t="s">
        <v>1415</v>
      </c>
      <c r="C18" s="752"/>
      <c r="D18" s="162" t="s">
        <v>1416</v>
      </c>
      <c r="E18" s="165">
        <v>9</v>
      </c>
      <c r="F18" s="166">
        <v>1</v>
      </c>
      <c r="G18" s="167">
        <f>Table_2_UK!H21+Table_2_UK!H22-Table_2_UK!H29</f>
        <v>355998</v>
      </c>
      <c r="H18" s="167">
        <f>Table_1_UK!H20-Table_1_UK!H18-Table_11_UK!H14-Table_11_UK!H15</f>
        <v>1348879</v>
      </c>
      <c r="I18" s="137">
        <f>ROUND(IF(H18=0,0,(365*G18)/H18),2)</f>
        <v>96.33</v>
      </c>
      <c r="J18" s="25"/>
    </row>
    <row r="19" spans="1:10" x14ac:dyDescent="0.25">
      <c r="A19" s="667">
        <v>10</v>
      </c>
      <c r="B19" s="751" t="s">
        <v>1417</v>
      </c>
      <c r="C19" s="752"/>
      <c r="D19" s="162" t="s">
        <v>1418</v>
      </c>
      <c r="E19" s="165">
        <v>10</v>
      </c>
      <c r="F19" s="166">
        <v>0</v>
      </c>
      <c r="G19" s="167">
        <f>Table_3_UK!H36</f>
        <v>52868</v>
      </c>
      <c r="H19" s="167">
        <f>-(Table_3_UK!H53+Table_3_UK!H54+Table_3_UK!H59+Table_3_UK!H60)</f>
        <v>25119</v>
      </c>
      <c r="I19" s="137">
        <f>ROUND(IF(H19=0,0,G19/H19),2)</f>
        <v>2.1</v>
      </c>
      <c r="J19" s="25"/>
    </row>
    <row r="20" spans="1:10" x14ac:dyDescent="0.25">
      <c r="A20" s="138"/>
      <c r="B20" s="138"/>
      <c r="C20" s="138"/>
      <c r="D20" s="138"/>
      <c r="E20" s="45"/>
      <c r="F20" s="45"/>
      <c r="G20" s="25"/>
      <c r="H20" s="25"/>
      <c r="I20" s="25"/>
      <c r="J20" s="25"/>
    </row>
    <row r="21" spans="1:10" x14ac:dyDescent="0.25">
      <c r="A21" s="138"/>
      <c r="B21" s="25"/>
      <c r="C21" s="138"/>
      <c r="D21" s="138"/>
      <c r="E21" s="25"/>
      <c r="F21" s="25"/>
      <c r="G21" s="25"/>
      <c r="H21" s="25"/>
      <c r="I21" s="25"/>
      <c r="J21" s="25"/>
    </row>
    <row r="22" spans="1:10" x14ac:dyDescent="0.25">
      <c r="A22" s="25"/>
      <c r="B22" s="25"/>
      <c r="C22" s="138"/>
      <c r="D22" s="138"/>
      <c r="E22" s="25"/>
      <c r="F22" s="25"/>
      <c r="G22" s="25"/>
      <c r="H22" s="25"/>
      <c r="I22" s="25"/>
      <c r="J22" s="25"/>
    </row>
    <row r="23" spans="1:10" x14ac:dyDescent="0.25">
      <c r="A23" s="25"/>
      <c r="B23" s="25"/>
      <c r="C23" s="138"/>
      <c r="D23" s="138"/>
      <c r="E23" s="25"/>
      <c r="F23" s="25"/>
      <c r="G23" s="25"/>
      <c r="H23" s="25"/>
      <c r="I23" s="25"/>
      <c r="J23" s="25"/>
    </row>
    <row r="42" spans="3:3" x14ac:dyDescent="0.25">
      <c r="C42" s="141"/>
    </row>
  </sheetData>
  <sheetProtection algorithmName="SHA-512" hashValue="y5pUiV2X6DqWhowhJtN8jhkIH4K/VL/cBXTgLPihUsA8a6efRkvqFOq5sDYtCIJPmxgYhZly2QlMVP8I9hsV+w==" saltValue="IBGkqH5UQ/9x6CmMpJUbhA==" spinCount="100000" sheet="1" objects="1"/>
  <mergeCells count="17">
    <mergeCell ref="E2:F2"/>
    <mergeCell ref="B4:C4"/>
    <mergeCell ref="B5:C5"/>
    <mergeCell ref="B6:C6"/>
    <mergeCell ref="B7:C7"/>
    <mergeCell ref="B8:C8"/>
    <mergeCell ref="B9:C9"/>
    <mergeCell ref="B10:C10"/>
    <mergeCell ref="B11:C11"/>
    <mergeCell ref="B12:C12"/>
    <mergeCell ref="B18:C18"/>
    <mergeCell ref="B19:C19"/>
    <mergeCell ref="B13:C13"/>
    <mergeCell ref="B14:C14"/>
    <mergeCell ref="B15:C15"/>
    <mergeCell ref="B16:C16"/>
    <mergeCell ref="B17:C17"/>
  </mergeCells>
  <printOptions headings="1" gridLines="1"/>
  <pageMargins left="0.31496062992125984" right="0.31496062992125984" top="0.74803149606299213" bottom="0.74803149606299213" header="0.31496062992125984" footer="0.31496062992125984"/>
  <pageSetup paperSize="9" orientation="landscape" r:id="rId1"/>
  <ignoredErrors>
    <ignoredError sqref="H17:I17 H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037-5DE6-4101-9E44-73D5916E7F66}">
  <sheetPr codeName="Sheet11">
    <pageSetUpPr fitToPage="1"/>
  </sheetPr>
  <dimension ref="A1:G76"/>
  <sheetViews>
    <sheetView zoomScale="80" zoomScaleNormal="80" workbookViewId="0">
      <pane ySplit="3" topLeftCell="A4" activePane="bottomLeft" state="frozenSplit"/>
      <selection activeCell="C28" sqref="C28"/>
      <selection pane="bottomLeft" activeCell="C28" sqref="C28"/>
    </sheetView>
  </sheetViews>
  <sheetFormatPr defaultColWidth="9.1796875" defaultRowHeight="14" x14ac:dyDescent="0.3"/>
  <cols>
    <col min="1" max="1" width="12.1796875" style="54" bestFit="1" customWidth="1"/>
    <col min="2" max="2" width="23.1796875" style="54" customWidth="1"/>
    <col min="3" max="3" width="94" style="55" customWidth="1"/>
    <col min="4" max="4" width="125.54296875" style="56" bestFit="1" customWidth="1"/>
    <col min="5" max="5" width="51.1796875" style="57" customWidth="1"/>
    <col min="6" max="6" width="9.1796875" style="58" customWidth="1"/>
    <col min="7" max="7" width="9.1796875" style="27" customWidth="1"/>
    <col min="8" max="16384" width="9.1796875" style="27"/>
  </cols>
  <sheetData>
    <row r="1" spans="1:5" s="58" customFormat="1" ht="14.15" customHeight="1" x14ac:dyDescent="0.3">
      <c r="A1" s="669" t="s">
        <v>117</v>
      </c>
      <c r="B1" s="669"/>
      <c r="C1" s="669"/>
      <c r="D1" s="669"/>
    </row>
    <row r="3" spans="1:5" s="58" customFormat="1" ht="14.15" customHeight="1" x14ac:dyDescent="0.3">
      <c r="A3" s="9" t="s">
        <v>118</v>
      </c>
      <c r="B3" s="9" t="s">
        <v>119</v>
      </c>
      <c r="C3" s="154" t="s">
        <v>120</v>
      </c>
      <c r="D3" s="154" t="s">
        <v>121</v>
      </c>
      <c r="E3" s="154" t="s">
        <v>122</v>
      </c>
    </row>
    <row r="4" spans="1:5" s="58" customFormat="1" ht="14.15" customHeight="1" x14ac:dyDescent="0.35">
      <c r="A4" s="153">
        <v>45944</v>
      </c>
      <c r="B4" s="176">
        <v>6</v>
      </c>
      <c r="C4" s="172" t="s">
        <v>123</v>
      </c>
      <c r="D4" s="128" t="s">
        <v>124</v>
      </c>
      <c r="E4" s="154"/>
    </row>
    <row r="5" spans="1:5" s="58" customFormat="1" ht="14.15" customHeight="1" x14ac:dyDescent="0.35">
      <c r="A5" s="177"/>
      <c r="B5" s="176"/>
      <c r="C5" s="172" t="s">
        <v>125</v>
      </c>
      <c r="D5" s="128" t="s">
        <v>124</v>
      </c>
      <c r="E5" s="154"/>
    </row>
    <row r="6" spans="1:5" s="58" customFormat="1" ht="14.15" customHeight="1" x14ac:dyDescent="0.35">
      <c r="A6" s="177"/>
      <c r="B6" s="176"/>
      <c r="C6" s="172" t="s">
        <v>126</v>
      </c>
      <c r="D6" s="128" t="s">
        <v>127</v>
      </c>
      <c r="E6" s="154"/>
    </row>
    <row r="7" spans="1:5" s="58" customFormat="1" ht="14.15" customHeight="1" x14ac:dyDescent="0.35">
      <c r="A7" s="177"/>
      <c r="B7" s="176"/>
      <c r="C7" s="172" t="s">
        <v>128</v>
      </c>
      <c r="D7" s="128" t="s">
        <v>129</v>
      </c>
      <c r="E7" s="154"/>
    </row>
    <row r="8" spans="1:5" s="58" customFormat="1" ht="14.15" customHeight="1" x14ac:dyDescent="0.35">
      <c r="A8" s="177"/>
      <c r="B8" s="176"/>
      <c r="C8" s="172" t="s">
        <v>130</v>
      </c>
      <c r="D8" s="128" t="s">
        <v>131</v>
      </c>
      <c r="E8" s="154"/>
    </row>
    <row r="9" spans="1:5" s="58" customFormat="1" ht="14.15" customHeight="1" x14ac:dyDescent="0.35">
      <c r="A9" s="177"/>
      <c r="B9" s="176"/>
      <c r="C9" s="172" t="s">
        <v>132</v>
      </c>
      <c r="D9" s="128" t="s">
        <v>133</v>
      </c>
      <c r="E9" s="154"/>
    </row>
    <row r="10" spans="1:5" s="58" customFormat="1" ht="14.15" customHeight="1" x14ac:dyDescent="0.35">
      <c r="A10" s="177"/>
      <c r="B10" s="176">
        <v>4</v>
      </c>
      <c r="C10" s="173" t="s">
        <v>134</v>
      </c>
      <c r="D10" t="s">
        <v>135</v>
      </c>
      <c r="E10" s="154"/>
    </row>
    <row r="11" spans="1:5" s="58" customFormat="1" ht="14.15" customHeight="1" x14ac:dyDescent="0.35">
      <c r="A11" s="177"/>
      <c r="B11" s="176"/>
      <c r="C11" s="173">
        <v>10</v>
      </c>
      <c r="D11" s="128" t="s">
        <v>127</v>
      </c>
      <c r="E11" s="154"/>
    </row>
    <row r="12" spans="1:5" s="58" customFormat="1" ht="14.15" customHeight="1" x14ac:dyDescent="0.35">
      <c r="A12" s="177"/>
      <c r="B12" s="176"/>
      <c r="C12" s="173">
        <v>11</v>
      </c>
      <c r="D12" s="128" t="s">
        <v>129</v>
      </c>
      <c r="E12" s="154"/>
    </row>
    <row r="13" spans="1:5" s="58" customFormat="1" ht="14.15" customHeight="1" x14ac:dyDescent="0.35">
      <c r="A13" s="177"/>
      <c r="B13" s="176"/>
      <c r="C13" s="173">
        <v>12</v>
      </c>
      <c r="D13" s="128" t="s">
        <v>131</v>
      </c>
      <c r="E13" s="154"/>
    </row>
    <row r="14" spans="1:5" s="58" customFormat="1" ht="14.15" customHeight="1" x14ac:dyDescent="0.3">
      <c r="A14" s="177"/>
      <c r="B14" s="176"/>
      <c r="C14" s="173">
        <v>13</v>
      </c>
      <c r="D14" s="174" t="s">
        <v>133</v>
      </c>
      <c r="E14" s="154"/>
    </row>
    <row r="15" spans="1:5" s="58" customFormat="1" ht="14.15" customHeight="1" x14ac:dyDescent="0.35">
      <c r="A15" s="177"/>
      <c r="B15" s="176">
        <v>7</v>
      </c>
      <c r="C15" s="173" t="s">
        <v>136</v>
      </c>
      <c r="D15" s="175" t="s">
        <v>124</v>
      </c>
      <c r="E15" s="154"/>
    </row>
    <row r="16" spans="1:5" s="58" customFormat="1" ht="14.15" customHeight="1" x14ac:dyDescent="0.35">
      <c r="A16" s="177"/>
      <c r="B16" s="178"/>
      <c r="C16" s="173" t="s">
        <v>137</v>
      </c>
      <c r="D16" s="175" t="s">
        <v>138</v>
      </c>
      <c r="E16" s="154"/>
    </row>
    <row r="17" spans="1:7" s="58" customFormat="1" ht="14.15" customHeight="1" x14ac:dyDescent="0.35">
      <c r="A17" s="177"/>
      <c r="B17" s="178"/>
      <c r="C17" s="173" t="s">
        <v>139</v>
      </c>
      <c r="D17" t="s">
        <v>127</v>
      </c>
      <c r="E17" s="154"/>
    </row>
    <row r="18" spans="1:7" s="58" customFormat="1" ht="14.15" customHeight="1" x14ac:dyDescent="0.35">
      <c r="A18" s="177"/>
      <c r="B18" s="178"/>
      <c r="C18" s="173" t="s">
        <v>140</v>
      </c>
      <c r="D18" t="s">
        <v>141</v>
      </c>
      <c r="E18" s="154"/>
    </row>
    <row r="19" spans="1:7" s="58" customFormat="1" ht="14.15" customHeight="1" x14ac:dyDescent="0.35">
      <c r="A19" s="177"/>
      <c r="B19" s="178"/>
      <c r="C19" s="173" t="s">
        <v>142</v>
      </c>
      <c r="D19" t="s">
        <v>131</v>
      </c>
      <c r="E19" s="154"/>
    </row>
    <row r="20" spans="1:7" s="58" customFormat="1" ht="14.15" customHeight="1" x14ac:dyDescent="0.35">
      <c r="A20" s="178"/>
      <c r="B20" s="178"/>
      <c r="C20" s="173" t="s">
        <v>143</v>
      </c>
      <c r="D20" t="s">
        <v>133</v>
      </c>
      <c r="E20" s="154"/>
    </row>
    <row r="21" spans="1:7" s="58" customFormat="1" ht="14.15" customHeight="1" x14ac:dyDescent="0.3">
      <c r="A21" s="153">
        <v>45946</v>
      </c>
      <c r="B21" s="45" t="s">
        <v>144</v>
      </c>
      <c r="C21" s="52" t="s">
        <v>145</v>
      </c>
      <c r="D21" s="52" t="s">
        <v>146</v>
      </c>
      <c r="E21" s="179" t="s">
        <v>147</v>
      </c>
    </row>
    <row r="22" spans="1:7" s="58" customFormat="1" ht="14.15" customHeight="1" x14ac:dyDescent="0.3">
      <c r="A22" s="153"/>
      <c r="B22" s="45"/>
      <c r="C22" s="52"/>
      <c r="D22" s="52"/>
      <c r="E22" s="154"/>
    </row>
    <row r="23" spans="1:7" s="58" customFormat="1" ht="14.15" customHeight="1" x14ac:dyDescent="0.3">
      <c r="A23" s="670" t="s">
        <v>148</v>
      </c>
      <c r="B23" s="670"/>
      <c r="C23" s="670"/>
      <c r="D23" s="670"/>
      <c r="E23" s="154"/>
    </row>
    <row r="24" spans="1:7" s="58" customFormat="1" ht="14.15" customHeight="1" x14ac:dyDescent="0.3">
      <c r="A24" s="153" t="s">
        <v>149</v>
      </c>
      <c r="B24" s="45" t="s">
        <v>150</v>
      </c>
      <c r="C24" s="52" t="s">
        <v>151</v>
      </c>
      <c r="D24" s="52" t="s">
        <v>152</v>
      </c>
      <c r="E24" s="8" t="s">
        <v>153</v>
      </c>
    </row>
    <row r="25" spans="1:7" s="58" customFormat="1" ht="14.15" customHeight="1" x14ac:dyDescent="0.3">
      <c r="A25" s="45"/>
      <c r="B25" s="45" t="s">
        <v>150</v>
      </c>
      <c r="C25" s="52" t="s">
        <v>154</v>
      </c>
      <c r="D25" s="52" t="s">
        <v>155</v>
      </c>
      <c r="E25" s="8" t="s">
        <v>153</v>
      </c>
    </row>
    <row r="26" spans="1:7" s="58" customFormat="1" ht="14.15" customHeight="1" x14ac:dyDescent="0.3">
      <c r="A26" s="153" t="s">
        <v>156</v>
      </c>
      <c r="B26" s="45" t="s">
        <v>157</v>
      </c>
      <c r="C26" s="52" t="s">
        <v>158</v>
      </c>
      <c r="D26" s="52" t="s">
        <v>159</v>
      </c>
      <c r="E26" s="8" t="s">
        <v>160</v>
      </c>
    </row>
    <row r="27" spans="1:7" s="58" customFormat="1" ht="14.15" customHeight="1" x14ac:dyDescent="0.3">
      <c r="A27" s="45"/>
      <c r="B27" s="45" t="s">
        <v>161</v>
      </c>
      <c r="C27" s="52" t="s">
        <v>162</v>
      </c>
      <c r="D27" s="52" t="s">
        <v>163</v>
      </c>
      <c r="E27" s="8" t="s">
        <v>164</v>
      </c>
    </row>
    <row r="28" spans="1:7" s="58" customFormat="1" ht="14.15" customHeight="1" x14ac:dyDescent="0.35">
      <c r="A28" s="45"/>
      <c r="B28" s="45"/>
      <c r="C28" s="52"/>
      <c r="D28" s="52"/>
      <c r="E28" s="8"/>
      <c r="F28"/>
      <c r="G28"/>
    </row>
    <row r="29" spans="1:7" s="58" customFormat="1" ht="14.15" customHeight="1" x14ac:dyDescent="0.3">
      <c r="A29" s="45"/>
      <c r="B29" s="45"/>
      <c r="C29" s="52"/>
      <c r="D29" s="52"/>
      <c r="E29" s="8"/>
    </row>
    <row r="30" spans="1:7" s="58" customFormat="1" ht="14.15" customHeight="1" x14ac:dyDescent="0.3">
      <c r="A30" s="45"/>
      <c r="B30" s="45"/>
      <c r="C30" s="52"/>
      <c r="D30" s="52"/>
      <c r="E30" s="8"/>
    </row>
    <row r="31" spans="1:7" s="58" customFormat="1" ht="14.15" customHeight="1" x14ac:dyDescent="0.3">
      <c r="A31" s="45"/>
      <c r="B31" s="45"/>
      <c r="C31" s="52"/>
      <c r="D31" s="52"/>
      <c r="E31" s="8"/>
    </row>
    <row r="32" spans="1:7" s="58" customFormat="1" ht="14.15" customHeight="1" x14ac:dyDescent="0.3">
      <c r="A32" s="45"/>
      <c r="B32" s="45"/>
      <c r="C32" s="52"/>
      <c r="D32" s="52"/>
      <c r="E32" s="8"/>
    </row>
    <row r="33" spans="1:5" s="58" customFormat="1" ht="14.15" customHeight="1" x14ac:dyDescent="0.3">
      <c r="A33" s="45"/>
      <c r="B33" s="45"/>
      <c r="C33" s="52"/>
      <c r="D33" s="52"/>
      <c r="E33" s="8"/>
    </row>
    <row r="34" spans="1:5" s="58" customFormat="1" ht="14.15" customHeight="1" x14ac:dyDescent="0.3">
      <c r="A34" s="45"/>
      <c r="B34" s="45"/>
      <c r="C34" s="52"/>
      <c r="D34" s="52"/>
      <c r="E34" s="8"/>
    </row>
    <row r="35" spans="1:5" s="58" customFormat="1" ht="14.15" customHeight="1" x14ac:dyDescent="0.3">
      <c r="A35" s="45"/>
      <c r="B35" s="45"/>
      <c r="C35" s="52"/>
      <c r="D35" s="52"/>
      <c r="E35" s="8"/>
    </row>
    <row r="36" spans="1:5" s="58" customFormat="1" ht="14.15" customHeight="1" x14ac:dyDescent="0.3">
      <c r="A36" s="45"/>
      <c r="B36" s="45"/>
      <c r="C36" s="52"/>
      <c r="D36" s="52"/>
      <c r="E36" s="8"/>
    </row>
    <row r="37" spans="1:5" s="58" customFormat="1" ht="14.15" customHeight="1" x14ac:dyDescent="0.3">
      <c r="A37" s="45"/>
      <c r="B37" s="45"/>
      <c r="C37" s="52"/>
      <c r="D37" s="52"/>
      <c r="E37" s="8"/>
    </row>
    <row r="38" spans="1:5" s="58" customFormat="1" ht="14.15" customHeight="1" x14ac:dyDescent="0.3">
      <c r="A38" s="45"/>
      <c r="B38" s="45"/>
      <c r="C38" s="52"/>
      <c r="D38" s="52"/>
      <c r="E38" s="8"/>
    </row>
    <row r="39" spans="1:5" s="58" customFormat="1" ht="14.15" customHeight="1" x14ac:dyDescent="0.3">
      <c r="A39" s="670" t="s">
        <v>165</v>
      </c>
      <c r="B39" s="670"/>
      <c r="C39" s="670"/>
      <c r="D39" s="670"/>
      <c r="E39" s="154"/>
    </row>
    <row r="40" spans="1:5" s="58" customFormat="1" ht="14.15" customHeight="1" x14ac:dyDescent="0.3">
      <c r="A40" s="155" t="s">
        <v>166</v>
      </c>
      <c r="B40" s="9"/>
      <c r="C40" s="154"/>
      <c r="D40" s="154"/>
      <c r="E40" s="154"/>
    </row>
    <row r="41" spans="1:5" s="58" customFormat="1" x14ac:dyDescent="0.3">
      <c r="A41" s="153" t="s">
        <v>167</v>
      </c>
      <c r="B41" s="92" t="s">
        <v>5</v>
      </c>
      <c r="C41" s="52" t="s">
        <v>168</v>
      </c>
      <c r="D41" s="52" t="s">
        <v>169</v>
      </c>
      <c r="E41" s="27" t="s">
        <v>170</v>
      </c>
    </row>
    <row r="42" spans="1:5" s="58" customFormat="1" x14ac:dyDescent="0.3">
      <c r="A42" s="153" t="s">
        <v>167</v>
      </c>
      <c r="B42" s="92" t="s">
        <v>6</v>
      </c>
      <c r="C42" s="52" t="s">
        <v>171</v>
      </c>
      <c r="D42" s="52" t="s">
        <v>172</v>
      </c>
      <c r="E42" s="27" t="s">
        <v>170</v>
      </c>
    </row>
    <row r="43" spans="1:5" s="58" customFormat="1" x14ac:dyDescent="0.3">
      <c r="A43" s="153" t="s">
        <v>167</v>
      </c>
      <c r="B43" s="92" t="s">
        <v>6</v>
      </c>
      <c r="C43" s="27" t="s">
        <v>173</v>
      </c>
      <c r="D43" s="27" t="s">
        <v>174</v>
      </c>
      <c r="E43" s="27" t="s">
        <v>170</v>
      </c>
    </row>
    <row r="44" spans="1:5" s="58" customFormat="1" x14ac:dyDescent="0.3">
      <c r="A44" s="153"/>
      <c r="B44" s="92"/>
    </row>
    <row r="45" spans="1:5" s="58" customFormat="1" ht="14.15" customHeight="1" x14ac:dyDescent="0.3">
      <c r="A45" s="155" t="s">
        <v>175</v>
      </c>
      <c r="B45" s="92"/>
    </row>
    <row r="46" spans="1:5" s="58" customFormat="1" ht="14.15" customHeight="1" x14ac:dyDescent="0.3">
      <c r="A46" s="153" t="s">
        <v>176</v>
      </c>
      <c r="B46" s="92" t="s">
        <v>177</v>
      </c>
      <c r="D46" s="27" t="s">
        <v>178</v>
      </c>
      <c r="E46" s="27" t="s">
        <v>179</v>
      </c>
    </row>
    <row r="47" spans="1:5" s="58" customFormat="1" x14ac:dyDescent="0.3">
      <c r="A47" s="153" t="s">
        <v>180</v>
      </c>
      <c r="B47" s="92" t="s">
        <v>181</v>
      </c>
      <c r="C47" s="27" t="s">
        <v>182</v>
      </c>
      <c r="D47" s="27" t="s">
        <v>183</v>
      </c>
      <c r="E47" s="27" t="s">
        <v>184</v>
      </c>
    </row>
    <row r="48" spans="1:5" s="58" customFormat="1" x14ac:dyDescent="0.3">
      <c r="A48" s="153" t="s">
        <v>180</v>
      </c>
      <c r="B48" s="51" t="s">
        <v>185</v>
      </c>
      <c r="C48" s="51" t="s">
        <v>186</v>
      </c>
      <c r="D48" s="27" t="s">
        <v>187</v>
      </c>
      <c r="E48" s="27" t="s">
        <v>188</v>
      </c>
    </row>
    <row r="49" spans="1:5" s="58" customFormat="1" x14ac:dyDescent="0.3">
      <c r="A49" s="153" t="s">
        <v>180</v>
      </c>
      <c r="B49" s="51" t="s">
        <v>185</v>
      </c>
      <c r="C49" s="51" t="s">
        <v>189</v>
      </c>
      <c r="D49" s="27" t="s">
        <v>187</v>
      </c>
      <c r="E49" s="27" t="s">
        <v>188</v>
      </c>
    </row>
    <row r="50" spans="1:5" s="58" customFormat="1" x14ac:dyDescent="0.3">
      <c r="A50" s="153" t="s">
        <v>180</v>
      </c>
      <c r="B50" s="51" t="s">
        <v>185</v>
      </c>
      <c r="C50" s="51" t="s">
        <v>190</v>
      </c>
      <c r="D50" s="27" t="s">
        <v>187</v>
      </c>
      <c r="E50" s="27" t="s">
        <v>188</v>
      </c>
    </row>
    <row r="51" spans="1:5" s="58" customFormat="1" x14ac:dyDescent="0.3">
      <c r="A51" s="153" t="s">
        <v>180</v>
      </c>
      <c r="B51" s="51" t="s">
        <v>185</v>
      </c>
      <c r="C51" s="51" t="s">
        <v>191</v>
      </c>
      <c r="D51" s="27" t="s">
        <v>187</v>
      </c>
      <c r="E51" s="27" t="s">
        <v>188</v>
      </c>
    </row>
    <row r="52" spans="1:5" s="58" customFormat="1" x14ac:dyDescent="0.3">
      <c r="A52" s="153" t="s">
        <v>180</v>
      </c>
      <c r="B52" s="51" t="s">
        <v>185</v>
      </c>
      <c r="C52" s="51" t="s">
        <v>192</v>
      </c>
      <c r="D52" s="27" t="s">
        <v>187</v>
      </c>
      <c r="E52" s="27" t="s">
        <v>188</v>
      </c>
    </row>
    <row r="53" spans="1:5" s="58" customFormat="1" x14ac:dyDescent="0.3">
      <c r="A53" s="153" t="s">
        <v>180</v>
      </c>
      <c r="B53" s="51" t="s">
        <v>185</v>
      </c>
      <c r="C53" s="51" t="s">
        <v>193</v>
      </c>
      <c r="D53" s="27" t="s">
        <v>187</v>
      </c>
      <c r="E53" s="27" t="s">
        <v>188</v>
      </c>
    </row>
    <row r="54" spans="1:5" s="58" customFormat="1" x14ac:dyDescent="0.3">
      <c r="A54" s="153" t="s">
        <v>180</v>
      </c>
      <c r="B54" s="51" t="s">
        <v>185</v>
      </c>
      <c r="C54" s="51" t="s">
        <v>194</v>
      </c>
      <c r="D54" s="27" t="s">
        <v>187</v>
      </c>
      <c r="E54" s="27" t="s">
        <v>188</v>
      </c>
    </row>
    <row r="55" spans="1:5" s="58" customFormat="1" x14ac:dyDescent="0.3">
      <c r="A55" s="153" t="s">
        <v>180</v>
      </c>
      <c r="B55" s="51" t="s">
        <v>185</v>
      </c>
      <c r="C55" s="51" t="s">
        <v>195</v>
      </c>
      <c r="D55" s="27" t="s">
        <v>187</v>
      </c>
      <c r="E55" s="27" t="s">
        <v>188</v>
      </c>
    </row>
    <row r="56" spans="1:5" s="58" customFormat="1" x14ac:dyDescent="0.3">
      <c r="A56" s="153" t="s">
        <v>180</v>
      </c>
      <c r="B56" s="51" t="s">
        <v>185</v>
      </c>
      <c r="C56" s="51" t="s">
        <v>196</v>
      </c>
      <c r="D56" s="27" t="s">
        <v>187</v>
      </c>
      <c r="E56" s="27" t="s">
        <v>188</v>
      </c>
    </row>
    <row r="57" spans="1:5" s="58" customFormat="1" x14ac:dyDescent="0.3">
      <c r="A57" s="153" t="s">
        <v>180</v>
      </c>
      <c r="B57" s="51" t="s">
        <v>185</v>
      </c>
      <c r="C57" s="51" t="s">
        <v>197</v>
      </c>
      <c r="D57" s="27" t="s">
        <v>187</v>
      </c>
      <c r="E57" s="27" t="s">
        <v>188</v>
      </c>
    </row>
    <row r="58" spans="1:5" s="58" customFormat="1" x14ac:dyDescent="0.3">
      <c r="A58" s="153"/>
      <c r="B58" s="92"/>
    </row>
    <row r="59" spans="1:5" s="58" customFormat="1" x14ac:dyDescent="0.3">
      <c r="A59" s="153"/>
      <c r="B59" s="92"/>
    </row>
    <row r="60" spans="1:5" s="58" customFormat="1" x14ac:dyDescent="0.3">
      <c r="A60" s="153"/>
      <c r="B60" s="92"/>
    </row>
    <row r="61" spans="1:5" s="58" customFormat="1" ht="14.5" customHeight="1" x14ac:dyDescent="0.3">
      <c r="A61" s="155" t="s">
        <v>198</v>
      </c>
      <c r="B61" s="92"/>
    </row>
    <row r="62" spans="1:5" s="58" customFormat="1" x14ac:dyDescent="0.3">
      <c r="A62" s="153" t="s">
        <v>199</v>
      </c>
      <c r="B62" s="92" t="s">
        <v>200</v>
      </c>
      <c r="C62" s="27" t="s">
        <v>201</v>
      </c>
      <c r="D62" s="27" t="s">
        <v>202</v>
      </c>
      <c r="E62" s="27" t="s">
        <v>203</v>
      </c>
    </row>
    <row r="63" spans="1:5" s="58" customFormat="1" x14ac:dyDescent="0.3">
      <c r="A63" s="153"/>
      <c r="B63" s="92"/>
    </row>
    <row r="64" spans="1:5" s="58" customFormat="1" x14ac:dyDescent="0.3">
      <c r="A64" s="153"/>
    </row>
    <row r="65" spans="1:1" s="58" customFormat="1" x14ac:dyDescent="0.3">
      <c r="A65" s="153"/>
    </row>
    <row r="66" spans="1:1" s="58" customFormat="1" x14ac:dyDescent="0.3">
      <c r="A66" s="153"/>
    </row>
    <row r="67" spans="1:1" s="58" customFormat="1" x14ac:dyDescent="0.3">
      <c r="A67" s="153"/>
    </row>
    <row r="68" spans="1:1" s="58" customFormat="1" x14ac:dyDescent="0.3">
      <c r="A68" s="153"/>
    </row>
    <row r="69" spans="1:1" s="58" customFormat="1" x14ac:dyDescent="0.3">
      <c r="A69" s="153"/>
    </row>
    <row r="70" spans="1:1" s="58" customFormat="1" x14ac:dyDescent="0.3">
      <c r="A70" s="153"/>
    </row>
    <row r="71" spans="1:1" s="58" customFormat="1" x14ac:dyDescent="0.3">
      <c r="A71" s="153"/>
    </row>
    <row r="72" spans="1:1" s="58" customFormat="1" x14ac:dyDescent="0.3">
      <c r="A72" s="153"/>
    </row>
    <row r="73" spans="1:1" s="58" customFormat="1" x14ac:dyDescent="0.3">
      <c r="A73" s="153"/>
    </row>
    <row r="74" spans="1:1" s="58" customFormat="1" x14ac:dyDescent="0.3">
      <c r="A74" s="153"/>
    </row>
    <row r="75" spans="1:1" s="58" customFormat="1" x14ac:dyDescent="0.3">
      <c r="A75" s="153"/>
    </row>
    <row r="76" spans="1:1" s="58" customFormat="1" x14ac:dyDescent="0.3">
      <c r="A76" s="153"/>
    </row>
  </sheetData>
  <mergeCells count="3">
    <mergeCell ref="A1:D1"/>
    <mergeCell ref="A23:D23"/>
    <mergeCell ref="A39:D39"/>
  </mergeCells>
  <phoneticPr fontId="22" type="noConversion"/>
  <printOptions gridLines="1"/>
  <pageMargins left="0.51181102362204722" right="0.51181102362204722" top="0.35433070866141736" bottom="0.35433070866141736" header="0.11811023622047245" footer="0.1181102362204724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08"/>
  <sheetViews>
    <sheetView showGridLines="0" topLeftCell="B1" zoomScale="80" zoomScaleNormal="80" workbookViewId="0">
      <pane ySplit="23" topLeftCell="A153" activePane="bottomLeft" state="frozenSplit"/>
      <selection activeCell="P23" sqref="P23 P23:Q23"/>
      <selection pane="bottomLeft" activeCell="E193" sqref="E193:F193"/>
    </sheetView>
  </sheetViews>
  <sheetFormatPr defaultColWidth="9.81640625" defaultRowHeight="14.5" x14ac:dyDescent="0.35"/>
  <cols>
    <col min="1" max="1" width="37.81640625" style="188" customWidth="1"/>
    <col min="2" max="2" width="47" style="188" customWidth="1"/>
    <col min="3" max="3" width="38.54296875" style="188" customWidth="1"/>
    <col min="4" max="4" width="41.1796875" style="188" customWidth="1"/>
    <col min="5" max="5" width="44.453125" style="188" customWidth="1"/>
    <col min="6" max="6" width="33.1796875" style="188" customWidth="1"/>
    <col min="7" max="7" width="12.54296875" style="188" customWidth="1"/>
    <col min="8" max="8" width="12.453125" style="188" customWidth="1"/>
    <col min="9" max="9" width="62" style="190" customWidth="1"/>
    <col min="10" max="10" width="30.81640625" style="191" hidden="1" customWidth="1"/>
    <col min="11" max="12" width="16.54296875" style="192" hidden="1" customWidth="1"/>
    <col min="13" max="13" width="9.81640625" style="188" hidden="1" customWidth="1"/>
    <col min="14" max="15" width="9.81640625" style="188" customWidth="1"/>
    <col min="16" max="16" width="9.81640625" style="189" customWidth="1"/>
    <col min="17" max="17" width="9.81640625" style="188" customWidth="1"/>
    <col min="18" max="16384" width="9.81640625" style="188"/>
  </cols>
  <sheetData>
    <row r="1" spans="1:14" customFormat="1" ht="16.5" customHeight="1" x14ac:dyDescent="0.35">
      <c r="A1" s="194" t="s">
        <v>204</v>
      </c>
      <c r="B1" s="194" t="str">
        <f>'Hide_me(drop_downs)'!I1</f>
        <v>Year ended 31 July 2025</v>
      </c>
      <c r="C1" s="195" t="s">
        <v>205</v>
      </c>
      <c r="D1" s="196">
        <v>1</v>
      </c>
      <c r="E1" s="197"/>
      <c r="F1" s="197"/>
      <c r="G1" s="197"/>
      <c r="H1" s="197"/>
      <c r="I1" s="198"/>
      <c r="J1" s="199"/>
      <c r="K1" s="192"/>
      <c r="L1" s="192"/>
      <c r="M1" s="25"/>
      <c r="N1" s="25"/>
    </row>
    <row r="2" spans="1:14" customFormat="1" ht="13" customHeight="1" x14ac:dyDescent="0.35">
      <c r="A2" s="200" t="s">
        <v>206</v>
      </c>
      <c r="B2" s="201" t="s">
        <v>207</v>
      </c>
      <c r="C2" s="202" t="s">
        <v>208</v>
      </c>
      <c r="D2" s="203">
        <f>SUM(K24:K205)</f>
        <v>0</v>
      </c>
      <c r="E2" s="204"/>
      <c r="F2" s="204"/>
      <c r="G2" s="204"/>
      <c r="H2" s="204"/>
      <c r="I2" s="198"/>
      <c r="J2" s="205"/>
      <c r="K2" s="25"/>
      <c r="L2" s="25"/>
      <c r="M2" s="25"/>
      <c r="N2" s="25"/>
    </row>
    <row r="3" spans="1:14" customFormat="1" ht="13" customHeight="1" x14ac:dyDescent="0.35">
      <c r="A3" s="206" t="s">
        <v>209</v>
      </c>
      <c r="B3" s="207" t="s">
        <v>210</v>
      </c>
      <c r="C3" s="202" t="s">
        <v>211</v>
      </c>
      <c r="D3" s="208">
        <f>SUM(L24:L205)</f>
        <v>6</v>
      </c>
      <c r="E3" s="204"/>
      <c r="F3" s="204"/>
      <c r="G3" s="204"/>
      <c r="H3" s="204"/>
      <c r="I3" s="198"/>
      <c r="J3" s="205"/>
      <c r="K3" s="25"/>
      <c r="L3" s="25"/>
      <c r="M3" s="25"/>
      <c r="N3" s="25"/>
    </row>
    <row r="4" spans="1:14" customFormat="1" ht="13" customHeight="1" x14ac:dyDescent="0.35">
      <c r="A4" s="206" t="s">
        <v>212</v>
      </c>
      <c r="B4" s="209" t="s">
        <v>114</v>
      </c>
      <c r="C4" s="210"/>
      <c r="D4" s="210"/>
      <c r="E4" s="204"/>
      <c r="F4" s="204"/>
      <c r="G4" s="204"/>
      <c r="H4" s="204"/>
      <c r="I4" s="198"/>
      <c r="J4" s="205"/>
      <c r="K4" s="25"/>
      <c r="L4" s="25"/>
      <c r="M4" s="25"/>
      <c r="N4" s="25"/>
    </row>
    <row r="5" spans="1:14" customFormat="1" ht="13" customHeight="1" x14ac:dyDescent="0.35">
      <c r="A5" s="211" t="s">
        <v>213</v>
      </c>
      <c r="B5" s="212" t="s">
        <v>214</v>
      </c>
      <c r="C5" s="213"/>
      <c r="D5" s="214"/>
      <c r="E5" s="25"/>
      <c r="F5" s="25"/>
      <c r="G5" s="25"/>
      <c r="H5" s="25"/>
      <c r="I5" s="215"/>
      <c r="J5" s="216"/>
      <c r="K5" s="25"/>
      <c r="L5" s="25"/>
      <c r="M5" s="25"/>
      <c r="N5" s="25"/>
    </row>
    <row r="6" spans="1:14" customFormat="1" ht="13" hidden="1" customHeight="1" x14ac:dyDescent="0.35">
      <c r="A6" s="676"/>
      <c r="B6" s="676"/>
      <c r="C6" s="217"/>
      <c r="D6" s="214"/>
      <c r="E6" s="25"/>
      <c r="F6" s="25"/>
      <c r="G6" s="25"/>
      <c r="H6" s="25"/>
      <c r="I6" s="215"/>
      <c r="J6" s="216"/>
      <c r="K6" s="25"/>
      <c r="L6" s="25"/>
      <c r="M6" s="25"/>
      <c r="N6" s="25"/>
    </row>
    <row r="7" spans="1:14" hidden="1" x14ac:dyDescent="0.35"/>
    <row r="8" spans="1:14" customFormat="1" ht="15" hidden="1" customHeight="1" x14ac:dyDescent="0.35">
      <c r="A8" s="218"/>
      <c r="B8" s="219"/>
      <c r="C8" s="217"/>
      <c r="D8" s="220"/>
      <c r="E8" s="221"/>
      <c r="F8" s="221"/>
      <c r="G8" s="220"/>
      <c r="H8" s="25"/>
      <c r="I8" s="25"/>
      <c r="J8" s="25"/>
      <c r="K8" s="222"/>
      <c r="L8" s="222"/>
      <c r="M8" s="25"/>
      <c r="N8" s="25"/>
    </row>
    <row r="9" spans="1:14" customFormat="1" ht="15" hidden="1" customHeight="1" x14ac:dyDescent="0.35">
      <c r="A9" s="25" t="s">
        <v>215</v>
      </c>
      <c r="B9" s="221"/>
      <c r="C9" s="221"/>
      <c r="D9" s="220"/>
      <c r="E9" s="221"/>
      <c r="F9" s="221"/>
      <c r="G9" s="220"/>
      <c r="H9" s="25"/>
      <c r="I9" s="25"/>
      <c r="J9" s="25"/>
      <c r="K9" s="222"/>
      <c r="L9" s="222"/>
      <c r="M9" s="25"/>
      <c r="N9" s="25"/>
    </row>
    <row r="10" spans="1:14" customFormat="1" ht="15" hidden="1" customHeight="1" x14ac:dyDescent="0.35">
      <c r="A10" s="25" t="s">
        <v>216</v>
      </c>
      <c r="B10" s="221"/>
      <c r="C10" s="221"/>
      <c r="D10" s="220"/>
      <c r="E10" s="221"/>
      <c r="F10" s="221"/>
      <c r="G10" s="220"/>
      <c r="H10" s="25"/>
      <c r="I10" s="25"/>
      <c r="J10" s="25"/>
      <c r="K10" s="222"/>
      <c r="L10" s="222"/>
      <c r="M10" s="25"/>
      <c r="N10" s="25"/>
    </row>
    <row r="11" spans="1:14" customFormat="1" ht="15" hidden="1" customHeight="1" x14ac:dyDescent="0.35">
      <c r="A11" s="25"/>
      <c r="B11" s="221"/>
      <c r="C11" s="221"/>
      <c r="D11" s="220"/>
      <c r="E11" s="221"/>
      <c r="F11" s="221"/>
      <c r="G11" s="220"/>
      <c r="H11" s="25"/>
      <c r="I11" s="25"/>
      <c r="J11" s="25"/>
      <c r="K11" s="222"/>
      <c r="L11" s="222"/>
      <c r="M11" s="25"/>
      <c r="N11" s="25"/>
    </row>
    <row r="12" spans="1:14" customFormat="1" ht="15" hidden="1" customHeight="1" x14ac:dyDescent="0.35">
      <c r="A12" s="188" t="s">
        <v>217</v>
      </c>
      <c r="B12" s="221"/>
      <c r="C12" s="221"/>
      <c r="D12" s="220"/>
      <c r="E12" s="221"/>
      <c r="F12" s="221"/>
      <c r="G12" s="220"/>
      <c r="H12" s="25"/>
      <c r="I12" s="25"/>
      <c r="J12" s="25"/>
      <c r="K12" s="222"/>
      <c r="L12" s="222"/>
      <c r="M12" s="25"/>
      <c r="N12" s="25"/>
    </row>
    <row r="13" spans="1:14" customFormat="1" ht="13" hidden="1" customHeight="1" x14ac:dyDescent="0.35">
      <c r="A13" s="188" t="s">
        <v>218</v>
      </c>
      <c r="B13" s="223"/>
      <c r="C13" s="218"/>
      <c r="D13" s="218"/>
      <c r="E13" s="218"/>
      <c r="F13" s="218"/>
      <c r="G13" s="218"/>
      <c r="H13" s="25"/>
      <c r="I13" s="25"/>
      <c r="J13" s="25"/>
      <c r="K13" s="25"/>
      <c r="L13" s="25"/>
      <c r="M13" s="25"/>
      <c r="N13" s="25"/>
    </row>
    <row r="14" spans="1:14" customFormat="1" ht="14" hidden="1" customHeight="1" x14ac:dyDescent="0.35">
      <c r="A14" s="188" t="s">
        <v>219</v>
      </c>
      <c r="B14" s="224"/>
      <c r="C14" s="25"/>
      <c r="D14" s="225"/>
      <c r="E14" s="226"/>
      <c r="F14" s="225"/>
      <c r="G14" s="227"/>
      <c r="H14" s="25"/>
      <c r="I14" s="190"/>
      <c r="J14" s="191"/>
      <c r="K14" s="222"/>
      <c r="L14" s="222"/>
      <c r="M14" s="25"/>
      <c r="N14" s="25"/>
    </row>
    <row r="15" spans="1:14" hidden="1" x14ac:dyDescent="0.35">
      <c r="A15" s="188" t="s">
        <v>220</v>
      </c>
      <c r="B15" s="224"/>
      <c r="D15" s="226"/>
      <c r="E15" s="226"/>
      <c r="F15" s="226"/>
      <c r="G15" s="228"/>
      <c r="H15" s="25"/>
      <c r="I15" s="215"/>
      <c r="J15" s="216"/>
    </row>
    <row r="16" spans="1:14" hidden="1" x14ac:dyDescent="0.35">
      <c r="B16" s="224"/>
      <c r="D16" s="225"/>
      <c r="E16" s="225"/>
      <c r="F16" s="225"/>
      <c r="G16" s="227"/>
    </row>
    <row r="17" spans="1:16" hidden="1" x14ac:dyDescent="0.35">
      <c r="A17" s="188" t="s">
        <v>221</v>
      </c>
      <c r="B17" s="224"/>
      <c r="D17" s="225"/>
      <c r="E17" s="225"/>
      <c r="F17" s="225"/>
      <c r="G17" s="227"/>
    </row>
    <row r="18" spans="1:16" customFormat="1" ht="14" hidden="1" customHeight="1" x14ac:dyDescent="0.35">
      <c r="A18" s="229" t="s">
        <v>222</v>
      </c>
      <c r="B18" s="224"/>
      <c r="C18" s="25"/>
      <c r="D18" s="225"/>
      <c r="E18" s="225"/>
      <c r="F18" s="225"/>
      <c r="G18" s="227"/>
      <c r="H18" s="25"/>
      <c r="I18" s="190"/>
      <c r="J18" s="191"/>
      <c r="K18" s="192"/>
      <c r="L18" s="192"/>
      <c r="M18" s="25"/>
      <c r="N18" s="25"/>
    </row>
    <row r="19" spans="1:16" hidden="1" x14ac:dyDescent="0.35">
      <c r="A19" s="230"/>
      <c r="B19" s="224"/>
      <c r="D19" s="225"/>
      <c r="E19" s="225"/>
      <c r="F19" s="225"/>
    </row>
    <row r="20" spans="1:16" hidden="1" x14ac:dyDescent="0.35">
      <c r="A20" s="231"/>
      <c r="B20" s="223"/>
      <c r="C20" s="232"/>
      <c r="D20" s="232"/>
      <c r="E20" s="233"/>
      <c r="F20" s="234"/>
      <c r="G20" s="233"/>
    </row>
    <row r="21" spans="1:16" customFormat="1" ht="14.15" customHeight="1" x14ac:dyDescent="0.35">
      <c r="A21" s="235" t="s">
        <v>223</v>
      </c>
      <c r="B21" s="236"/>
      <c r="C21" s="237"/>
      <c r="D21" s="238"/>
      <c r="E21" s="238"/>
      <c r="F21" s="238"/>
      <c r="G21" s="238"/>
      <c r="H21" s="238"/>
      <c r="I21" s="239"/>
      <c r="J21" s="240"/>
      <c r="K21" s="25"/>
      <c r="L21" s="25"/>
      <c r="M21" s="25"/>
      <c r="N21" s="25"/>
    </row>
    <row r="22" spans="1:16" x14ac:dyDescent="0.35">
      <c r="A22" s="241"/>
      <c r="B22" s="242"/>
      <c r="C22" s="243"/>
      <c r="D22" s="244"/>
      <c r="E22" s="244"/>
      <c r="F22" s="243"/>
      <c r="G22" s="243"/>
      <c r="H22" s="243"/>
      <c r="I22" s="245"/>
      <c r="J22" s="246"/>
    </row>
    <row r="23" spans="1:16" s="193" customFormat="1" ht="14.15" customHeight="1" x14ac:dyDescent="0.35">
      <c r="A23" s="247" t="s">
        <v>224</v>
      </c>
      <c r="B23" s="248" t="s">
        <v>225</v>
      </c>
      <c r="C23" s="249"/>
      <c r="D23" s="250"/>
      <c r="E23" s="248" t="s">
        <v>226</v>
      </c>
      <c r="F23" s="248"/>
      <c r="G23" s="248" t="s">
        <v>227</v>
      </c>
      <c r="H23" s="248" t="s">
        <v>228</v>
      </c>
      <c r="I23" s="251" t="s">
        <v>229</v>
      </c>
      <c r="J23" s="252" t="s">
        <v>230</v>
      </c>
      <c r="K23" s="106" t="s">
        <v>230</v>
      </c>
      <c r="L23" s="106" t="s">
        <v>230</v>
      </c>
      <c r="M23" s="189"/>
      <c r="N23" s="189"/>
      <c r="P23" s="189"/>
    </row>
    <row r="24" spans="1:16" customFormat="1" ht="30.5" customHeight="1" x14ac:dyDescent="0.35">
      <c r="A24" s="253" t="s">
        <v>231</v>
      </c>
      <c r="B24" s="674" t="s">
        <v>232</v>
      </c>
      <c r="C24" s="674"/>
      <c r="D24" s="674"/>
      <c r="E24" s="675" t="str">
        <f>Table_1_UK!$A$1&amp;" Head "&amp; Table_1_UK!A6</f>
        <v>Table 1: Head 1a</v>
      </c>
      <c r="F24" s="675"/>
      <c r="G24" s="254" t="s">
        <v>233</v>
      </c>
      <c r="H24" s="255" t="str">
        <f>IF(Table_1_UK!H6&lt;&gt;0,"PASS","FAIL")</f>
        <v>PASS</v>
      </c>
      <c r="I24" s="256" t="str">
        <f>IF(Table_1_UK!H6&lt;&gt;0,"","Head "&amp;Table_1_UK!A6&amp;" ("&amp;Title_Page!J24&amp;")")</f>
        <v/>
      </c>
      <c r="J24" s="257">
        <f>Table_1_UK!H6</f>
        <v>556462</v>
      </c>
      <c r="K24" s="192">
        <f t="shared" ref="K24:K55" si="0">IF(AND(G24="Error",H24="FAIL"),1,0)</f>
        <v>0</v>
      </c>
      <c r="L24" s="192">
        <f t="shared" ref="L24:L55" si="1">IF(AND(G24="Warning",H24="FAIL"),1,0)</f>
        <v>0</v>
      </c>
      <c r="M24" s="25"/>
      <c r="N24" s="25"/>
    </row>
    <row r="25" spans="1:16" customFormat="1" ht="30.5" customHeight="1" x14ac:dyDescent="0.35">
      <c r="A25" s="253" t="s">
        <v>234</v>
      </c>
      <c r="B25" s="674" t="s">
        <v>235</v>
      </c>
      <c r="C25" s="674"/>
      <c r="D25" s="674"/>
      <c r="E25" s="675" t="str">
        <f>Table_1_UK!$A$1&amp;" Head "&amp; Table_1_UK!A7</f>
        <v>Table 1: Head 1b</v>
      </c>
      <c r="F25" s="675"/>
      <c r="G25" s="254" t="s">
        <v>233</v>
      </c>
      <c r="H25" s="255" t="str">
        <f>IF(Table_1_UK!H7=0,"FAIL","PASS")</f>
        <v>PASS</v>
      </c>
      <c r="I25" s="256" t="str">
        <f>IF(Table_1_UK!H7=0,"Head "&amp;Table_1_UK!A7&amp;" ("&amp;Title_Page!J25&amp;")","")</f>
        <v/>
      </c>
      <c r="J25" s="257">
        <f>Table_1_UK!H7</f>
        <v>206796</v>
      </c>
      <c r="K25" s="192">
        <f t="shared" si="0"/>
        <v>0</v>
      </c>
      <c r="L25" s="192">
        <f t="shared" si="1"/>
        <v>0</v>
      </c>
      <c r="M25" s="25"/>
      <c r="N25" s="25"/>
    </row>
    <row r="26" spans="1:16" customFormat="1" ht="30.5" customHeight="1" x14ac:dyDescent="0.35">
      <c r="A26" s="253" t="s">
        <v>236</v>
      </c>
      <c r="B26" s="674" t="s">
        <v>237</v>
      </c>
      <c r="C26" s="674"/>
      <c r="D26" s="674"/>
      <c r="E26" s="258" t="str">
        <f>Table_1_UK!$A$1&amp;" Head "&amp; Table_1_UK!A8</f>
        <v>Table 1: Head 1c</v>
      </c>
      <c r="F26" s="258"/>
      <c r="G26" s="254" t="s">
        <v>238</v>
      </c>
      <c r="H26" s="255" t="str">
        <f>IF(Table_1_UK!H8&lt;&gt;0,"PASS","FAIL")</f>
        <v>PASS</v>
      </c>
      <c r="I26" s="256" t="str">
        <f>IF(Table_1_UK!H8&lt;&gt;0,"","Head "&amp;Table_1_UK!A8&amp;" ("&amp;Title_Page!J26&amp;")")</f>
        <v/>
      </c>
      <c r="J26" s="257">
        <f>Table_1_UK!H8</f>
        <v>375372</v>
      </c>
      <c r="K26" s="192">
        <f t="shared" si="0"/>
        <v>0</v>
      </c>
      <c r="L26" s="192">
        <f t="shared" si="1"/>
        <v>0</v>
      </c>
      <c r="M26" s="25"/>
      <c r="N26" s="25"/>
    </row>
    <row r="27" spans="1:16" customFormat="1" ht="30.5" customHeight="1" x14ac:dyDescent="0.35">
      <c r="A27" s="253" t="s">
        <v>239</v>
      </c>
      <c r="B27" s="674" t="s">
        <v>240</v>
      </c>
      <c r="C27" s="674"/>
      <c r="D27" s="674"/>
      <c r="E27" s="675" t="str">
        <f>Table_1_UK!$A$1&amp;" Head "&amp; Table_1_UK!A9</f>
        <v>Table 1: Head 1d</v>
      </c>
      <c r="F27" s="675"/>
      <c r="G27" s="254" t="s">
        <v>233</v>
      </c>
      <c r="H27" s="255" t="str">
        <f>IF(Table_1_UK!H9&lt;&gt;0,"PASS","FAIL")</f>
        <v>PASS</v>
      </c>
      <c r="I27" s="256" t="str">
        <f>IF(Table_1_UK!H9&lt;&gt;0,"","Head "&amp;Table_1_UK!A9&amp;" ("&amp;Title_Page!J27&amp;")")</f>
        <v/>
      </c>
      <c r="J27" s="257">
        <f>Table_1_UK!H9</f>
        <v>261183</v>
      </c>
      <c r="K27" s="192">
        <f t="shared" si="0"/>
        <v>0</v>
      </c>
      <c r="L27" s="192">
        <f t="shared" si="1"/>
        <v>0</v>
      </c>
      <c r="M27" s="25"/>
      <c r="N27" s="25"/>
    </row>
    <row r="28" spans="1:16" customFormat="1" ht="30.5" customHeight="1" x14ac:dyDescent="0.35">
      <c r="A28" s="253" t="s">
        <v>241</v>
      </c>
      <c r="B28" s="674" t="s">
        <v>242</v>
      </c>
      <c r="C28" s="674"/>
      <c r="D28" s="674"/>
      <c r="E28" s="675" t="str">
        <f>Table_1_UK!$A$1&amp;" Head "&amp; Table_1_UK!A10</f>
        <v>Table 1: Head 1e</v>
      </c>
      <c r="F28" s="675"/>
      <c r="G28" s="254" t="s">
        <v>238</v>
      </c>
      <c r="H28" s="255" t="str">
        <f>IF(Table_1_UK!H10&lt;&gt;0,"PASS","FAIL")</f>
        <v>PASS</v>
      </c>
      <c r="I28" s="256" t="str">
        <f>IF(Table_1_UK!H10&lt;&gt;0,"","Head "&amp;Table_1_UK!A10&amp;" ("&amp;Title_Page!J28&amp;")")</f>
        <v/>
      </c>
      <c r="J28" s="257">
        <f>Table_1_UK!H10</f>
        <v>54233</v>
      </c>
      <c r="K28" s="192">
        <f t="shared" si="0"/>
        <v>0</v>
      </c>
      <c r="L28" s="192">
        <f t="shared" si="1"/>
        <v>0</v>
      </c>
      <c r="M28" s="25"/>
      <c r="N28" s="25"/>
    </row>
    <row r="29" spans="1:16" customFormat="1" ht="30.5" customHeight="1" x14ac:dyDescent="0.35">
      <c r="A29" s="253" t="s">
        <v>243</v>
      </c>
      <c r="B29" s="674" t="s">
        <v>244</v>
      </c>
      <c r="C29" s="674"/>
      <c r="D29" s="674"/>
      <c r="E29" s="675" t="str">
        <f>Table_1_UK!$A$1&amp;" Head "&amp; Table_1_UK!A11</f>
        <v>Table 1: Head 1f</v>
      </c>
      <c r="F29" s="675"/>
      <c r="G29" s="254" t="s">
        <v>238</v>
      </c>
      <c r="H29" s="255" t="str">
        <f>IF(Table_1_UK!H11&lt;&gt;0,"PASS","FAIL")</f>
        <v>PASS</v>
      </c>
      <c r="I29" s="256" t="str">
        <f>IF(Table_1_UK!H11&lt;&gt;0,"","Head "&amp;Table_1_UK!A11&amp;" ("&amp;Title_Page!J29&amp;")")</f>
        <v/>
      </c>
      <c r="J29" s="257">
        <f>Table_1_UK!H11</f>
        <v>22322</v>
      </c>
      <c r="K29" s="192">
        <f t="shared" si="0"/>
        <v>0</v>
      </c>
      <c r="L29" s="192">
        <f t="shared" si="1"/>
        <v>0</v>
      </c>
      <c r="M29" s="25"/>
      <c r="N29" s="25"/>
    </row>
    <row r="30" spans="1:16" customFormat="1" ht="30.5" customHeight="1" x14ac:dyDescent="0.35">
      <c r="A30" s="253" t="s">
        <v>245</v>
      </c>
      <c r="B30" s="674" t="s">
        <v>246</v>
      </c>
      <c r="C30" s="674"/>
      <c r="D30" s="674"/>
      <c r="E30" s="675" t="str">
        <f>Table_1_UK!$A$1&amp;" Head "&amp; Table_1_UK!A12</f>
        <v>Table 1: Head 1g</v>
      </c>
      <c r="F30" s="675"/>
      <c r="G30" s="254" t="s">
        <v>233</v>
      </c>
      <c r="H30" s="255" t="str">
        <f>IF(Table_1_UK!H12&lt;&gt;0,"PASS","FAIL")</f>
        <v>PASS</v>
      </c>
      <c r="I30" s="256" t="str">
        <f>IF(Table_1_UK!H12&lt;&gt;0,"","Head "&amp;Table_1_UK!A12&amp;" ("&amp;Title_Page!J30&amp;")")</f>
        <v/>
      </c>
      <c r="J30" s="257">
        <f>Table_1_UK!H12</f>
        <v>1476368</v>
      </c>
      <c r="K30" s="192">
        <f t="shared" si="0"/>
        <v>0</v>
      </c>
      <c r="L30" s="192">
        <f t="shared" si="1"/>
        <v>0</v>
      </c>
      <c r="M30" s="25"/>
      <c r="N30" s="25"/>
    </row>
    <row r="31" spans="1:16" customFormat="1" ht="30.5" customHeight="1" x14ac:dyDescent="0.35">
      <c r="A31" s="253" t="s">
        <v>247</v>
      </c>
      <c r="B31" s="674" t="s">
        <v>248</v>
      </c>
      <c r="C31" s="674"/>
      <c r="D31" s="674"/>
      <c r="E31" s="675" t="str">
        <f>Table_1_UK!$A$1&amp;" Head "&amp; Table_1_UK!A12</f>
        <v>Table 1: Head 1g</v>
      </c>
      <c r="F31" s="675"/>
      <c r="G31" s="254" t="s">
        <v>233</v>
      </c>
      <c r="H31" s="255" t="str">
        <f>IF(Table_1_UK!I12&lt;&gt;0,"PASS","FAIL")</f>
        <v>PASS</v>
      </c>
      <c r="I31" s="256" t="str">
        <f>IF(Table_1_UK!I12&lt;&gt;0,"","Head "&amp;Table_1_UK!A12&amp;" ("&amp;Title_Page!J31&amp;")")</f>
        <v/>
      </c>
      <c r="J31" s="257">
        <f>Table_1_UK!I12</f>
        <v>1433831</v>
      </c>
      <c r="K31" s="192">
        <f t="shared" si="0"/>
        <v>0</v>
      </c>
      <c r="L31" s="192">
        <f t="shared" si="1"/>
        <v>0</v>
      </c>
      <c r="M31" s="25"/>
      <c r="N31" s="25"/>
    </row>
    <row r="32" spans="1:16" customFormat="1" ht="30.5" customHeight="1" x14ac:dyDescent="0.35">
      <c r="A32" s="253" t="s">
        <v>249</v>
      </c>
      <c r="B32" s="674" t="s">
        <v>250</v>
      </c>
      <c r="C32" s="674"/>
      <c r="D32" s="674"/>
      <c r="E32" s="675" t="str">
        <f>Table_1_UK!$A$1&amp;" Head "&amp; Table_1_UK!A20</f>
        <v>Table 1: Head 2f</v>
      </c>
      <c r="F32" s="675"/>
      <c r="G32" s="254" t="s">
        <v>233</v>
      </c>
      <c r="H32" s="255" t="str">
        <f>IF(Table_1_UK!H20&lt;&gt;0,"PASS","FAIL")</f>
        <v>PASS</v>
      </c>
      <c r="I32" s="256" t="str">
        <f>IF(Table_1_UK!H20&lt;&gt;0,"","Head "&amp;Table_1_UK!A20&amp;" ("&amp;Title_Page!J32&amp;")")</f>
        <v/>
      </c>
      <c r="J32" s="257">
        <f>Table_1_UK!H20</f>
        <v>1456356</v>
      </c>
      <c r="K32" s="192">
        <f t="shared" si="0"/>
        <v>0</v>
      </c>
      <c r="L32" s="192">
        <f t="shared" si="1"/>
        <v>0</v>
      </c>
      <c r="M32" s="25"/>
      <c r="N32" s="25"/>
    </row>
    <row r="33" spans="1:14" customFormat="1" ht="30.5" customHeight="1" x14ac:dyDescent="0.35">
      <c r="A33" s="253" t="s">
        <v>251</v>
      </c>
      <c r="B33" s="674" t="s">
        <v>252</v>
      </c>
      <c r="C33" s="674"/>
      <c r="D33" s="674"/>
      <c r="E33" s="675" t="str">
        <f>Table_1_UK!$A$1&amp;" Head "&amp; Table_1_UK!A20</f>
        <v>Table 1: Head 2f</v>
      </c>
      <c r="F33" s="675"/>
      <c r="G33" s="254" t="s">
        <v>233</v>
      </c>
      <c r="H33" s="255" t="str">
        <f>IF(Table_1_UK!I20&lt;&gt;0,"PASS","FAIL")</f>
        <v>PASS</v>
      </c>
      <c r="I33" s="256" t="str">
        <f>IF(Table_1_UK!I20&lt;&gt;0,"","Head "&amp;Table_1_UK!A20&amp;" ("&amp;Title_Page!J33&amp;")")</f>
        <v/>
      </c>
      <c r="J33" s="257">
        <f>Table_1_UK!I20</f>
        <v>1056201</v>
      </c>
      <c r="K33" s="192">
        <f t="shared" si="0"/>
        <v>0</v>
      </c>
      <c r="L33" s="192">
        <f t="shared" si="1"/>
        <v>0</v>
      </c>
      <c r="M33" s="25"/>
      <c r="N33" s="25"/>
    </row>
    <row r="34" spans="1:14" customFormat="1" ht="30.5" customHeight="1" x14ac:dyDescent="0.35">
      <c r="A34" s="253" t="s">
        <v>253</v>
      </c>
      <c r="B34" s="674" t="s">
        <v>254</v>
      </c>
      <c r="C34" s="674"/>
      <c r="D34" s="674"/>
      <c r="E34" s="673" t="str">
        <f>Table_1_UK!$A$1&amp;" Head "&amp;Table_1_UK!A41&amp;", "&amp;Table_1_UK!A50</f>
        <v>Table 1: Head 16, 17g</v>
      </c>
      <c r="F34" s="673"/>
      <c r="G34" s="255" t="s">
        <v>233</v>
      </c>
      <c r="H34" s="255" t="str">
        <f>IF(Table_1_UK!H41=Table_1_UK!H50,"PASS","FAIL")</f>
        <v>PASS</v>
      </c>
      <c r="I34" s="256" t="str">
        <f>IF(Table_1_UK!H41=Table_1_UK!H50,"","Head "&amp;Table_1_UK!A41&amp;", "&amp;Table_1_UK!A50&amp;" ("&amp;Title_Page!J34&amp;")")</f>
        <v/>
      </c>
      <c r="J34" s="257" t="str">
        <f>(Table_1_UK!H41&amp;", "&amp;Table_1_UK!H50)</f>
        <v>74180, 74180</v>
      </c>
      <c r="K34" s="192">
        <f t="shared" si="0"/>
        <v>0</v>
      </c>
      <c r="L34" s="192">
        <f t="shared" si="1"/>
        <v>0</v>
      </c>
      <c r="M34" s="25"/>
      <c r="N34" s="25"/>
    </row>
    <row r="35" spans="1:14" customFormat="1" ht="30.5" customHeight="1" x14ac:dyDescent="0.35">
      <c r="A35" s="259" t="s">
        <v>255</v>
      </c>
      <c r="B35" s="674" t="s">
        <v>256</v>
      </c>
      <c r="C35" s="674"/>
      <c r="D35" s="674"/>
      <c r="E35" s="673" t="str">
        <f>Table_1_UK!$A$1&amp;" Head "&amp;Table_1_UK!A39</f>
        <v>Table 1: Head 15</v>
      </c>
      <c r="F35" s="673"/>
      <c r="G35" s="255" t="s">
        <v>233</v>
      </c>
      <c r="H35" s="260" t="str">
        <f>IF(AND(SUM(Table_1_UK!H39)&lt;&gt;0,ISBLANK(Table_1_UK!N39)),"FAIL","PASS")</f>
        <v>PASS</v>
      </c>
      <c r="I35" s="256" t="str">
        <f>IF(AND(SUM(Table_1_UK!H39)&lt;&gt;0,ISBLANK(Table_1_UK!N39)),"Head "&amp;Table_1_UK!A39&amp;"("&amp;Title_Page!J35&amp;")","")</f>
        <v/>
      </c>
      <c r="J35" s="257" t="str">
        <f>Table_1_UK!H39&amp;", "&amp;Table_1_UK!N39</f>
        <v xml:space="preserve">0, </v>
      </c>
      <c r="K35" s="192">
        <f t="shared" si="0"/>
        <v>0</v>
      </c>
      <c r="L35" s="192">
        <f t="shared" si="1"/>
        <v>0</v>
      </c>
      <c r="M35" s="25"/>
      <c r="N35" s="25"/>
    </row>
    <row r="36" spans="1:14" customFormat="1" ht="30.5" customHeight="1" x14ac:dyDescent="0.35">
      <c r="A36" s="259" t="s">
        <v>257</v>
      </c>
      <c r="B36" s="674" t="s">
        <v>258</v>
      </c>
      <c r="C36" s="674"/>
      <c r="D36" s="674"/>
      <c r="E36" s="673" t="str">
        <f>Table_1_UK!$A$1&amp;" Head "&amp;Table_1_UK!A39</f>
        <v>Table 1: Head 15</v>
      </c>
      <c r="F36" s="673"/>
      <c r="G36" s="255" t="s">
        <v>233</v>
      </c>
      <c r="H36" s="260" t="str">
        <f>IF(AND(SUM(Table_1_UK!H39)=0,NOT(ISBLANK(Table_1_UK!N39))),"FAIL","PASS")</f>
        <v>PASS</v>
      </c>
      <c r="I36" s="256" t="str">
        <f>IF(AND(SUM(Table_1_UK!H39)=0,NOT(ISBLANK(Table_1_UK!N39))),"Head "&amp;Table_1_UK!A39&amp;"("&amp;Title_Page!J36&amp;")","")</f>
        <v/>
      </c>
      <c r="J36" s="257" t="str">
        <f>Table_1_UK!H39&amp;", "&amp;Table_1_UK!N39</f>
        <v xml:space="preserve">0, </v>
      </c>
      <c r="K36" s="192">
        <f t="shared" si="0"/>
        <v>0</v>
      </c>
      <c r="L36" s="192">
        <f t="shared" si="1"/>
        <v>0</v>
      </c>
      <c r="M36" s="25"/>
      <c r="N36" s="25"/>
    </row>
    <row r="37" spans="1:14" customFormat="1" ht="30.5" customHeight="1" x14ac:dyDescent="0.35">
      <c r="A37" s="259" t="s">
        <v>259</v>
      </c>
      <c r="B37" s="674" t="s">
        <v>260</v>
      </c>
      <c r="C37" s="674"/>
      <c r="D37" s="674"/>
      <c r="E37" s="673" t="str">
        <f>Table_1_UK!$A$1&amp;" Head "&amp;Table_1_UK!A41&amp;", " &amp;Table_2_UK!$A$1&amp;" Head "&amp;Table_2_UK!A70</f>
        <v>Table 1: Head 16, Table 2: Head 14</v>
      </c>
      <c r="F37" s="673"/>
      <c r="G37" s="255" t="s">
        <v>238</v>
      </c>
      <c r="H37" s="260" t="str">
        <f>IF((ABS(Table_1_UK!H41-(Table_2_UK!H70-Table_2_UK!I70)))&gt;5, "FAIL", "PASS")</f>
        <v>PASS</v>
      </c>
      <c r="I37" s="256" t="str">
        <f>IF((ABS(Table_1_UK!H41-(Table_2_UK!H70-Table_2_UK!I70)))&gt;5, "Table 1 "&amp;"Head "&amp;Table_1_UK!A41&amp;" ("&amp;Table_1_UK!H41&amp;")"&amp;", "&amp;"Table 2 "&amp;"Head "&amp;Table_2_UK!A70&amp;" ("&amp;Table_2_UK!H70&amp;", "&amp;Table_2_UK!I70&amp;")","")</f>
        <v/>
      </c>
      <c r="J37" s="261" t="str">
        <f>Table_1_UK!H41&amp;", "&amp;Table_2_UK!H70&amp;", "&amp;Table_2_UK!I70</f>
        <v>74180, 3125830, 3051649</v>
      </c>
      <c r="K37" s="192">
        <f t="shared" si="0"/>
        <v>0</v>
      </c>
      <c r="L37" s="192">
        <f t="shared" si="1"/>
        <v>0</v>
      </c>
      <c r="M37" s="25"/>
      <c r="N37" s="25"/>
    </row>
    <row r="38" spans="1:14" customFormat="1" ht="30.5" customHeight="1" x14ac:dyDescent="0.35">
      <c r="A38" s="262" t="s">
        <v>261</v>
      </c>
      <c r="B38" s="671" t="s">
        <v>262</v>
      </c>
      <c r="C38" s="671"/>
      <c r="D38" s="671"/>
      <c r="E38" s="673" t="str">
        <f>Table_1_UK!$A$1&amp;" Head "&amp;Table_1_UK!A7&amp;" ,"&amp;Table_1_UK!A9&amp;", "&amp;Table_1_UK!A10&amp;", "&amp;Table_1_UK!A11&amp;", "&amp;Table_1_UK!A16&amp;", "&amp;Table_1_UK!A18&amp;", "&amp;Table_1_UK!A19&amp;", "&amp;Table_1_UK!A24&amp;", "&amp;Table_1_UK!A26&amp;", "&amp;Table_1_UK!A27&amp;", "&amp;Table_1_UK!A28&amp;", "&amp;Table_1_UK!A32</f>
        <v>Table 1: Head 1b ,1d, 1e, 1f, 2b, 2d, 2e, 4, 6, 7, 8, 10</v>
      </c>
      <c r="F38" s="673"/>
      <c r="G38" s="255" t="s">
        <v>238</v>
      </c>
      <c r="H38" s="260" t="str">
        <f>IF(OR(AND(Table_1_UK!K7&gt;750,Table_1_UK!L7&gt;2),AND(Table_1_UK!K7&lt;-750,Table_1_UK!L7&gt;2),AND(Table_1_UK!K9&gt;750,Table_1_UK!L9&gt;2),AND(Table_1_UK!K9&lt;-750,Table_1_UK!L9&gt;2),AND(Table_1_UK!K10&gt;750,Table_1_UK!L10&gt;2),AND(Table_1_UK!K10&lt;-750,Table_1_UK!L10&gt;2),AND(Table_1_UK!K11&gt;750,Table_1_UK!L11&gt;2),AND(Table_1_UK!K11&lt;-750,Table_1_UK!L11&gt;2),AND(Table_1_UK!K16&gt;750,Table_1_UK!L16&gt;2),AND(Table_1_UK!K16&lt;-750,Table_1_UK!L16&gt;2),AND(Table_1_UK!K18&gt;750,Table_1_UK!L18&gt;2),AND(Table_1_UK!K18&lt;-750,Table_1_UK!L18&gt;2),AND(Table_1_UK!K19&gt;750,Table_1_UK!L19&gt;2),AND(Table_1_UK!K19&lt;-750,Table_1_UK!L19&gt;2),AND(Table_1_UK!K24&gt;750,Table_1_UK!L24&gt;2),AND(Table_1_UK!K24&lt;-750,Table_1_UK!L24&gt;2),AND(Table_1_UK!K26&gt;750,Table_1_UK!L26&gt;2),AND(Table_1_UK!K26&lt;-750,Table_1_UK!L26&gt;2),AND(Table_1_UK!K27&gt;750,Table_1_UK!L27&gt;2),AND(Table_1_UK!K27&lt;-750,Table_1_UK!L27&gt;2),AND(Table_1_UK!K28&gt;750,Table_1_UK!L28&gt;2),AND(Table_1_UK!K28&lt;-750,Table_1_UK!L28&gt;2),AND(Table_1_UK!K32&gt;750,Table_1_UK!L32&gt;2),AND(Table_1_UK!K32&lt;-750,Table_1_UK!L32&gt;2)),"FAIL","PASS")</f>
        <v>FAIL</v>
      </c>
      <c r="I38" s="256" t="str">
        <f>IF(Table_1_UK!S1="FAIL",CONCATENATE(Table_1_UK!S5," ",Table_1_UK!S7,Table_1_UK!S9,Table_1_UK!S10,Table_1_UK!S11,Table_1_UK!S16,Table_1_UK!S18,Table_1_UK!S19,Table_1_UK!S24,Table_1_UK!S26,Table_1_UK!S27,Table_1_UK!S28,Table_1_UK!S32),"")</f>
        <v xml:space="preserve">Head 4 (-2644, -26), </v>
      </c>
      <c r="J38" s="261" t="str">
        <f>Table_1_UK!H7&amp;", "&amp;Table_1_UK!H9&amp;", "&amp;Table_1_UK!H10&amp;", "&amp;Table_1_UK!H11&amp;", "&amp;Table_1_UK!H16&amp;", "&amp;Table_1_UK!H18&amp;", "&amp;Table_1_UK!H19&amp;", "&amp;Table_1_UK!H24&amp;", "&amp;Table_1_UK!H26&amp;", "&amp;Table_1_UK!H27&amp;", "&amp;Table_1_UK!H28&amp;", "&amp;Table_1_UK!H32</f>
        <v>206796, 261183, 54233, 22322, 0, 107477, 13974, -2644, 27969, 0, 0, -743</v>
      </c>
      <c r="K38" s="192">
        <f t="shared" si="0"/>
        <v>0</v>
      </c>
      <c r="L38" s="192">
        <f t="shared" si="1"/>
        <v>1</v>
      </c>
      <c r="M38" s="25"/>
      <c r="N38" s="25"/>
    </row>
    <row r="39" spans="1:14" customFormat="1" ht="30.5" customHeight="1" x14ac:dyDescent="0.35">
      <c r="A39" s="262" t="s">
        <v>263</v>
      </c>
      <c r="B39" s="671" t="s">
        <v>264</v>
      </c>
      <c r="C39" s="671"/>
      <c r="D39" s="671"/>
      <c r="E39" s="673" t="str">
        <f>Table_1_UK!$A$1&amp;" Head "&amp;Table_1_UK!A7&amp;", "&amp;Table_1_UK!A9&amp;", "&amp;Table_1_UK!A10&amp;", "&amp;Table_1_UK!A11&amp;", "&amp;Table_1_UK!A16&amp;", "&amp;Table_1_UK!A18&amp;", "&amp;Table_1_UK!A19&amp;", "&amp;Table_1_UK!A24&amp;", "&amp;Table_1_UK!A26&amp;", "&amp;Table_1_UK!A27&amp;", "&amp;Table_1_UK!A28&amp;", "&amp;Table_1_UK!A32&amp;", "&amp;Table_1_UK!A36&amp;", "&amp;Table_1_UK!A37&amp;", "&amp;Table_1_UK!A38&amp;", "&amp;Table_1_UK!A39&amp;", "&amp;Table_1_UK!A44&amp;", "&amp;Table_1_UK!A45&amp;", "&amp;Table_1_UK!A46&amp;", "&amp;Table_1_UK!A47&amp;", "&amp;Table_1_UK!A49&amp;", "&amp;Table_1_UK!A53</f>
        <v>Table 1: Head 1b, 1d, 1e, 1f, 2b, 2d, 2e, 4, 6, 7, 8, 10, 12, 13, 14, 15, 17a, 17b, 17c, 17d, 17f, 18a</v>
      </c>
      <c r="F39" s="673"/>
      <c r="G39" s="255" t="s">
        <v>238</v>
      </c>
      <c r="H39" s="260" t="str">
        <f>IF(OR(AND(Table_1_UK!I7&lt;&gt;Table_1_UK!J7),AND(Table_1_UK!I9&lt;&gt;Table_1_UK!J9),AND(Table_1_UK!I10&lt;&gt;Table_1_UK!J10),AND(Table_1_UK!I11&lt;&gt;Table_1_UK!J11),AND(Table_1_UK!I16&lt;&gt;Table_1_UK!J16),AND(Table_1_UK!I18&lt;&gt;Table_1_UK!J18),AND(Table_1_UK!I19&lt;&gt;Table_1_UK!J19),AND(Table_1_UK!I24&lt;&gt;Table_1_UK!J24),AND(Table_1_UK!I26&lt;&gt;Table_1_UK!J26),AND(Table_1_UK!I27&lt;&gt;Table_1_UK!J27),AND(Table_1_UK!I28&lt;&gt;Table_1_UK!J28),AND(Table_1_UK!I32&lt;&gt;Table_1_UK!J32),AND(Table_1_UK!I36&lt;&gt;Table_1_UK!J36),AND(Table_1_UK!I37&lt;&gt;Table_1_UK!J37),AND(Table_1_UK!I38&lt;&gt;Table_1_UK!J38),AND(Table_1_UK!I39&lt;&gt;Table_1_UK!J39),AND(Table_1_UK!I44&lt;&gt;Table_1_UK!J44),AND(Table_1_UK!I45&lt;&gt;Table_1_UK!J45),AND(Table_1_UK!I46&lt;&gt;Table_1_UK!J46),AND(Table_1_UK!I47&lt;&gt;Table_1_UK!J47),AND(Table_1_UK!I49&lt;&gt;Table_1_UK!J49),AND(Table_1_UK!I53&lt;&gt;Table_1_UK!J53)),"FAIL","PASS")</f>
        <v>PASS</v>
      </c>
      <c r="I39" s="256" t="str">
        <f>IF(Table_1_UK!U1="FAIL",CONCATENATE(Table_1_UK!U5," ",Table_1_UK!U7,Table_1_UK!U9,Table_1_UK!U10,Table_1_UK!U11,Table_1_UK!U16,Table_1_UK!U18,Table_1_UK!U19,Table_1_UK!U24,Table_1_UK!U26,Table_1_UK!U27,Table_1_UK!U28,Table_1_UK!U32,Table_1_UK!U36,Table_1_UK!U37,Table_1_UK!U38,Table_1_UK!U39,Table_1_UK!U44,Table_1_UK!U45,Table_1_UK!U46,Table_1_UK!U47,Table_1_UK!U49,Table_1_UK!U53),"")</f>
        <v/>
      </c>
      <c r="J39" s="261" t="str">
        <f>Table_1_UK!I7&amp;", "&amp;Table_1_UK!I9&amp;", "&amp;Table_1_UK!I10&amp;", "&amp;Table_1_UK!I11&amp;", "&amp;Table_1_UK!I16&amp;", "&amp;Table_1_UK!I18&amp;", "&amp;Table_1_UK!I19&amp;", "&amp;Table_1_UK!I24&amp;", "&amp;Table_1_UK!I26&amp;", "&amp;Table_1_UK!I27&amp;", "&amp;Table_1_UK!I28&amp;", "&amp;Table_1_UK!I32&amp;", "&amp;Table_1_UK!I36&amp;", "&amp;Table_1_UK!I37&amp;", "&amp;Table_1_UK!I38&amp;", "&amp;Table_1_UK!I39&amp;", "&amp;Table_1_UK!I44&amp;", "&amp;Table_1_UK!I45&amp;", "&amp;Table_1_UK!I46&amp;", "&amp;Table_1_UK!I47&amp;", "&amp;Table_1_UK!I49&amp;", "&amp;Table_1_UK!I53</f>
        <v>208676, 238304, 64425, 30072, 0, 91030, 21602, -26, 29036, 0, 0, -849, 0, -12881, 0, 0, 20600, 35802, 336508, 0, 0, 0</v>
      </c>
      <c r="K39" s="192">
        <f t="shared" si="0"/>
        <v>0</v>
      </c>
      <c r="L39" s="192">
        <f t="shared" si="1"/>
        <v>0</v>
      </c>
      <c r="M39" s="25"/>
      <c r="N39" s="25"/>
    </row>
    <row r="40" spans="1:14" customFormat="1" ht="30.5" customHeight="1" x14ac:dyDescent="0.35">
      <c r="A40" s="263" t="s">
        <v>265</v>
      </c>
      <c r="B40" s="671" t="s">
        <v>266</v>
      </c>
      <c r="C40" s="671"/>
      <c r="D40" s="671"/>
      <c r="E40" s="673" t="str">
        <f>Table_1_UK!$A$1&amp;" Head "&amp;Table_1_UK!A56</f>
        <v>Table 1: Head 19</v>
      </c>
      <c r="F40" s="673"/>
      <c r="G40" s="254" t="s">
        <v>233</v>
      </c>
      <c r="H40" s="255" t="str">
        <f>IF(ISBLANK(Table_1_UK!H56),"FAIL","PASS")</f>
        <v>PASS</v>
      </c>
      <c r="I40" s="256" t="str">
        <f>IF(ISBLANK(Table_1_UK!H56),"Head "&amp;Table_1_UK!A56&amp;" (  )","")</f>
        <v/>
      </c>
      <c r="J40" s="261" t="str">
        <f>Table_1_UK!H56</f>
        <v>No</v>
      </c>
      <c r="K40" s="192">
        <f t="shared" si="0"/>
        <v>0</v>
      </c>
      <c r="L40" s="192">
        <f t="shared" si="1"/>
        <v>0</v>
      </c>
      <c r="M40" s="25"/>
      <c r="N40" s="25"/>
    </row>
    <row r="41" spans="1:14" customFormat="1" ht="30.5" customHeight="1" x14ac:dyDescent="0.35">
      <c r="A41" s="263" t="s">
        <v>267</v>
      </c>
      <c r="B41" s="671" t="s">
        <v>268</v>
      </c>
      <c r="C41" s="671"/>
      <c r="D41" s="671"/>
      <c r="E41" s="673" t="str">
        <f>Table_1_UK!$A$1&amp;" Head "&amp;Table_1_UK!A56</f>
        <v>Table 1: Head 19</v>
      </c>
      <c r="F41" s="673"/>
      <c r="G41" s="254" t="s">
        <v>233</v>
      </c>
      <c r="H41" s="255" t="str">
        <f>IF(ISBLANK(Table_1_UK!I56),"FAIL","PASS")</f>
        <v>PASS</v>
      </c>
      <c r="I41" s="256" t="str">
        <f>IF(ISBLANK(Table_1_UK!I56),"Head "&amp;Table_1_UK!A56&amp;" (  )","")</f>
        <v/>
      </c>
      <c r="J41" s="261" t="str">
        <f>Table_1_UK!I56</f>
        <v>Yes</v>
      </c>
      <c r="K41" s="192">
        <f t="shared" si="0"/>
        <v>0</v>
      </c>
      <c r="L41" s="192">
        <f t="shared" si="1"/>
        <v>0</v>
      </c>
      <c r="M41" s="25"/>
      <c r="N41" s="25"/>
    </row>
    <row r="42" spans="1:14" customFormat="1" ht="30.5" customHeight="1" x14ac:dyDescent="0.35">
      <c r="A42" s="263" t="s">
        <v>269</v>
      </c>
      <c r="B42" s="671" t="s">
        <v>270</v>
      </c>
      <c r="C42" s="671"/>
      <c r="D42" s="671"/>
      <c r="E42" s="673" t="str">
        <f>Table_1_UK!$A$1&amp;" Head "&amp;Table_1_UK!A56</f>
        <v>Table 1: Head 19</v>
      </c>
      <c r="F42" s="673"/>
      <c r="G42" s="254" t="s">
        <v>238</v>
      </c>
      <c r="H42" s="255" t="str">
        <f>IF(AND(Table_1_UK!H56="Yes",(Table_9_UK!H6+Table_9_UK!H7+Table_9_UK!H8+Table_9_UK!H9+Table_9_UK!H10+Table_9_UK!H11+Table_9_UK!H15+Table_9_UK!H16+Table_9_UK!H17+Table_9_UK!H18+Table_9_UK!H19+Table_9_UK!H24+Table_9_UK!H25+Table_9_UK!H26+Table_9_UK!H27+Table_9_UK!H28+Table_9_UK!H32+Table_9_UK!H36+Table_9_UK!H37+Table_9_UK!H38+Table_9_UK!H39+Table_9_UK!H44+Table_9_UK!H45+Table_9_UK!H46+Table_9_UK!H47+Table_9_UK!H49+Table_9_UK!H53+Table_9_UK!H54=0)),"FAIL","PASS")</f>
        <v>PASS</v>
      </c>
      <c r="I42" s="256" t="str">
        <f>IF(AND(Table_1_UK!H56="Yes",(Table_9_UK!H6+Table_9_UK!H7+Table_9_UK!H8+Table_9_UK!H9+Table_9_UK!H10+Table_9_UK!H11+Table_9_UK!H15+Table_9_UK!H16+Table_9_UK!H17+Table_9_UK!H18+Table_9_UK!H19+Table_9_UK!H24+Table_9_UK!H25+Table_9_UK!H26+Table_9_UK!H27+Table_9_UK!H28+Table_9_UK!H32+Table_9_UK!H36+Table_9_UK!H37+Table_9_UK!H38+Table_9_UK!H39+Table_9_UK!H44+Table_9_UK!H45+Table_9_UK!H46+Table_9_UK!H47+Table_9_UK!H49+Table_9_UK!H53+Table_9_UK!H54=0)),"Head "&amp;Table_1_UK!A56&amp;" (Yes)","")</f>
        <v/>
      </c>
      <c r="J42" s="261" t="str">
        <f>Table_1_UK!H56</f>
        <v>No</v>
      </c>
      <c r="K42" s="192">
        <f t="shared" si="0"/>
        <v>0</v>
      </c>
      <c r="L42" s="192">
        <f t="shared" si="1"/>
        <v>0</v>
      </c>
      <c r="M42" s="25"/>
      <c r="N42" s="25"/>
    </row>
    <row r="43" spans="1:14" customFormat="1" ht="30.5" customHeight="1" x14ac:dyDescent="0.35">
      <c r="A43" s="263" t="s">
        <v>271</v>
      </c>
      <c r="B43" s="671" t="s">
        <v>272</v>
      </c>
      <c r="C43" s="671"/>
      <c r="D43" s="671"/>
      <c r="E43" s="673" t="str">
        <f>Table_1_UK!$A$1&amp;" Head "&amp;Table_1_UK!A56</f>
        <v>Table 1: Head 19</v>
      </c>
      <c r="F43" s="673"/>
      <c r="G43" s="254" t="s">
        <v>238</v>
      </c>
      <c r="H43" s="255" t="str">
        <f>IF(AND(Table_1_UK!I56="Yes",(Table_9_UK!I6+Table_9_UK!I7+Table_9_UK!I8+Table_9_UK!I9+Table_9_UK!I10+Table_9_UK!I11+Table_9_UK!I15+Table_9_UK!I16+Table_9_UK!I17+Table_9_UK!I18+Table_9_UK!I19+Table_9_UK!I24+Table_9_UK!I25+Table_9_UK!I26+Table_9_UK!I27+Table_9_UK!I28+Table_9_UK!I32+Table_9_UK!I36+Table_9_UK!I37+Table_9_UK!I38+Table_9_UK!I39+Table_9_UK!I44+Table_9_UK!I45+Table_9_UK!I46+Table_9_UK!I47+Table_9_UK!I49+Table_9_UK!I53+Table_9_UK!I54=0)),"FAIL","PASS")</f>
        <v>PASS</v>
      </c>
      <c r="I43" s="256" t="str">
        <f>IF(AND(Table_1_UK!I56="Yes",(Table_9_UK!I6+Table_9_UK!I7+Table_9_UK!I8+Table_9_UK!I9+Table_9_UK!I10+Table_9_UK!I11+Table_9_UK!I15+Table_9_UK!I16+Table_9_UK!I17+Table_9_UK!I18+Table_9_UK!I19+Table_9_UK!I24+Table_9_UK!I25+Table_9_UK!I26+Table_9_UK!I27+Table_9_UK!I28+Table_9_UK!I32+Table_9_UK!I36+Table_9_UK!I37+Table_9_UK!I38+Table_9_UK!I39+Table_9_UK!I44+Table_9_UK!I45+Table_9_UK!I46+Table_9_UK!I47+Table_9_UK!I49+Table_9_UK!I53+Table_9_UK!I54=0)),"Head "&amp;Table_1_UK!A56&amp;" (Yes)","")</f>
        <v/>
      </c>
      <c r="J43" s="261" t="str">
        <f>Table_1_UK!I56</f>
        <v>Yes</v>
      </c>
      <c r="K43" s="192">
        <f t="shared" si="0"/>
        <v>0</v>
      </c>
      <c r="L43" s="192">
        <f t="shared" si="1"/>
        <v>0</v>
      </c>
      <c r="M43" s="25"/>
      <c r="N43" s="25"/>
    </row>
    <row r="44" spans="1:14" customFormat="1" ht="30.5" customHeight="1" x14ac:dyDescent="0.35">
      <c r="A44" s="263" t="s">
        <v>273</v>
      </c>
      <c r="B44" s="671" t="s">
        <v>274</v>
      </c>
      <c r="C44" s="671"/>
      <c r="D44" s="671"/>
      <c r="E44" s="673" t="str">
        <f>Table_1_UK!$A$1&amp;" Head "&amp;Table_1_UK!A56</f>
        <v>Table 1: Head 19</v>
      </c>
      <c r="F44" s="673"/>
      <c r="G44" s="254" t="s">
        <v>238</v>
      </c>
      <c r="H44" s="255" t="str">
        <f>IF(AND(Table_1_UK!H56="No",(Table_9_UK!H6+Table_9_UK!H7+Table_9_UK!H8+Table_9_UK!H9+Table_9_UK!H10+Table_9_UK!H11+Table_9_UK!H15+Table_9_UK!H16+Table_9_UK!H17+Table_9_UK!H18+Table_9_UK!H19+Table_9_UK!H24+Table_9_UK!H25+Table_9_UK!H26+Table_9_UK!H27+Table_9_UK!H28+Table_9_UK!H32+Table_9_UK!H36+Table_9_UK!H37+Table_9_UK!H38+Table_9_UK!H39+Table_9_UK!H44+Table_9_UK!H45+Table_9_UK!H46+Table_9_UK!H47+Table_9_UK!H49+Table_9_UK!H53+Table_9_UK!H54&lt;&gt;0)),"FAIL","PASS")</f>
        <v>PASS</v>
      </c>
      <c r="I44" s="139" t="str">
        <f>IF(AND(Table_1_UK!H56="No",(Table_9_UK!H6+Table_9_UK!H7+Table_9_UK!H8+Table_9_UK!H9+Table_9_UK!H10+Table_9_UK!H11+Table_9_UK!H15+Table_9_UK!H16+Table_9_UK!H17+Table_9_UK!H18+Table_9_UK!H19+Table_9_UK!H24+Table_9_UK!H25+Table_9_UK!H26+Table_9_UK!H27+Table_9_UK!H28+Table_9_UK!H32+Table_9_UK!H36+Table_9_UK!H37+Table_9_UK!H38+Table_9_UK!H39+Table_9_UK!H44+Table_9_UK!H45+Table_9_UK!H46+Table_9_UK!H47+Table_9_UK!H49+Table_9_UK!H53+Table_9_UK!H54&lt;&gt;0)),"Head "&amp;Table_1_UK!A56&amp;" (No)","")</f>
        <v/>
      </c>
      <c r="J44" s="261" t="str">
        <f>Table_1_UK!H56</f>
        <v>No</v>
      </c>
      <c r="K44" s="192">
        <f t="shared" si="0"/>
        <v>0</v>
      </c>
      <c r="L44" s="192">
        <f t="shared" si="1"/>
        <v>0</v>
      </c>
      <c r="M44" s="25"/>
      <c r="N44" s="25"/>
    </row>
    <row r="45" spans="1:14" customFormat="1" ht="30.5" customHeight="1" x14ac:dyDescent="0.35">
      <c r="A45" s="263" t="s">
        <v>275</v>
      </c>
      <c r="B45" s="671" t="s">
        <v>276</v>
      </c>
      <c r="C45" s="671"/>
      <c r="D45" s="671"/>
      <c r="E45" s="673" t="str">
        <f>Table_1_UK!$A$1&amp;" Head "&amp;Table_1_UK!A56</f>
        <v>Table 1: Head 19</v>
      </c>
      <c r="F45" s="673"/>
      <c r="G45" s="254" t="s">
        <v>238</v>
      </c>
      <c r="H45" s="255" t="str">
        <f>IF(AND(Table_1_UK!I56="No",(Table_9_UK!I6+Table_9_UK!I7+Table_9_UK!I8+Table_9_UK!I9+Table_9_UK!I10+Table_9_UK!I11+Table_9_UK!I15+Table_9_UK!I16+Table_9_UK!I17+Table_9_UK!I18+Table_9_UK!I19+Table_9_UK!I24+Table_9_UK!I25+Table_9_UK!I26+Table_9_UK!I27+Table_9_UK!I28+Table_9_UK!I32+Table_9_UK!I36+Table_9_UK!I37+Table_9_UK!I38+Table_9_UK!I39+Table_9_UK!I44+Table_9_UK!I45+Table_9_UK!I46+Table_9_UK!I47+Table_9_UK!I49+Table_9_UK!I53+Table_9_UK!I54&lt;&gt;0)),"FAIL","PASS")</f>
        <v>PASS</v>
      </c>
      <c r="I45" s="139" t="str">
        <f>IF(AND(Table_1_UK!I56="No",(Table_9_UK!I6+Table_9_UK!I7+Table_9_UK!I8+Table_9_UK!I9+Table_9_UK!I10+Table_9_UK!I11+Table_9_UK!I15+Table_9_UK!I16+Table_9_UK!I17+Table_9_UK!I18+Table_9_UK!I19+Table_9_UK!I24+Table_9_UK!I25+Table_9_UK!I26+Table_9_UK!I27+Table_9_UK!I28+Table_9_UK!I32+Table_9_UK!I36+Table_9_UK!I37+Table_9_UK!I38+Table_9_UK!I39+Table_9_UK!I44+Table_9_UK!I45+Table_9_UK!I46+Table_9_UK!I47+Table_9_UK!I49+Table_9_UK!I53+Table_9_UK!I54&lt;&gt;0)),"Head "&amp;Table_1_UK!A56&amp;" (No)","")</f>
        <v/>
      </c>
      <c r="J45" s="261" t="str">
        <f>Table_1_UK!I56</f>
        <v>Yes</v>
      </c>
      <c r="K45" s="192">
        <f t="shared" si="0"/>
        <v>0</v>
      </c>
      <c r="L45" s="192">
        <f t="shared" si="1"/>
        <v>0</v>
      </c>
      <c r="M45" s="25"/>
      <c r="N45" s="25"/>
    </row>
    <row r="46" spans="1:14" customFormat="1" ht="30.5" customHeight="1" x14ac:dyDescent="0.35">
      <c r="A46" s="259" t="s">
        <v>277</v>
      </c>
      <c r="B46" s="674" t="s">
        <v>278</v>
      </c>
      <c r="C46" s="674"/>
      <c r="D46" s="674"/>
      <c r="E46" s="673" t="str">
        <f>Table_1_UK!$A$1&amp;" Head "&amp;Table_1_UK!A56</f>
        <v>Table 1: Head 19</v>
      </c>
      <c r="F46" s="673"/>
      <c r="G46" s="255" t="s">
        <v>233</v>
      </c>
      <c r="H46" s="260" t="str">
        <f>IF(AND(Table_1_UK!H56="Yes",ISBLANK(Table_1_UK!N56)),"FAIL","PASS")</f>
        <v>PASS</v>
      </c>
      <c r="I46" s="256" t="str">
        <f>IF(AND(Table_1_UK!H56="Yes",ISBLANK(Table_1_UK!N56)),"Head "&amp;Table_1_UK!A56&amp;" ("&amp;Title_Page!J46&amp;")","")</f>
        <v/>
      </c>
      <c r="J46" s="257" t="str">
        <f>Table_1_UK!N56</f>
        <v>The USS change in provision was dislosured separately from staff costs in the signed accounts</v>
      </c>
      <c r="K46" s="192">
        <f t="shared" si="0"/>
        <v>0</v>
      </c>
      <c r="L46" s="192">
        <f t="shared" si="1"/>
        <v>0</v>
      </c>
      <c r="M46" s="25"/>
      <c r="N46" s="25"/>
    </row>
    <row r="47" spans="1:14" customFormat="1" ht="30.5" customHeight="1" x14ac:dyDescent="0.35">
      <c r="A47" s="259" t="s">
        <v>279</v>
      </c>
      <c r="B47" s="674" t="s">
        <v>280</v>
      </c>
      <c r="C47" s="674"/>
      <c r="D47" s="674"/>
      <c r="E47" s="673" t="str">
        <f>Table_1_UK!$A$1&amp;" Head "&amp;Table_1_UK!A56</f>
        <v>Table 1: Head 19</v>
      </c>
      <c r="F47" s="673"/>
      <c r="G47" s="255" t="s">
        <v>233</v>
      </c>
      <c r="H47" s="260" t="str">
        <f>IF(AND(Table_1_UK!I56="Yes",ISBLANK(Table_1_UK!N56)),"FAIL","PASS")</f>
        <v>PASS</v>
      </c>
      <c r="I47" s="256" t="str">
        <f>IF(AND(Table_1_UK!I56="Yes",ISBLANK(Table_1_UK!N56)),"Head "&amp;Table_1_UK!A56&amp;" ("&amp;Title_Page!J47&amp;")","")</f>
        <v/>
      </c>
      <c r="J47" s="257" t="str">
        <f>Table_1_UK!N56</f>
        <v>The USS change in provision was dislosured separately from staff costs in the signed accounts</v>
      </c>
      <c r="K47" s="192">
        <f t="shared" si="0"/>
        <v>0</v>
      </c>
      <c r="L47" s="192">
        <f t="shared" si="1"/>
        <v>0</v>
      </c>
      <c r="M47" s="25"/>
      <c r="N47" s="25"/>
    </row>
    <row r="48" spans="1:14" customFormat="1" ht="30.5" customHeight="1" x14ac:dyDescent="0.35">
      <c r="A48" s="263" t="s">
        <v>281</v>
      </c>
      <c r="B48" s="671" t="s">
        <v>282</v>
      </c>
      <c r="C48" s="671"/>
      <c r="D48" s="671"/>
      <c r="E48" s="673" t="str">
        <f>Table_2_UK!$A$1&amp;" Head "&amp;Table_2_UK!A70</f>
        <v>Table 2: Head 14</v>
      </c>
      <c r="F48" s="673"/>
      <c r="G48" s="254" t="s">
        <v>233</v>
      </c>
      <c r="H48" s="255" t="str">
        <f>IF(Table_2_UK!H70&lt;&gt;0,"PASS","FAIL")</f>
        <v>PASS</v>
      </c>
      <c r="I48" s="256" t="str">
        <f>IF(Table_2_UK!H70&lt;&gt;0,"","Head "&amp;Table_2_UK!A70&amp;" ("&amp;Title_Page!J48&amp;")")</f>
        <v/>
      </c>
      <c r="J48" s="257">
        <f>Table_2_UK!H70</f>
        <v>3125830</v>
      </c>
      <c r="K48" s="192">
        <f t="shared" si="0"/>
        <v>0</v>
      </c>
      <c r="L48" s="192">
        <f t="shared" si="1"/>
        <v>0</v>
      </c>
      <c r="M48" s="25"/>
      <c r="N48" s="25"/>
    </row>
    <row r="49" spans="1:14" customFormat="1" ht="30.5" customHeight="1" x14ac:dyDescent="0.35">
      <c r="A49" s="263" t="s">
        <v>283</v>
      </c>
      <c r="B49" s="671" t="s">
        <v>284</v>
      </c>
      <c r="C49" s="671"/>
      <c r="D49" s="671"/>
      <c r="E49" s="673" t="str">
        <f>Table_2_UK!$A$1&amp;" Head "&amp;Table_2_UK!A70</f>
        <v>Table 2: Head 14</v>
      </c>
      <c r="F49" s="673"/>
      <c r="G49" s="254" t="s">
        <v>233</v>
      </c>
      <c r="H49" s="255" t="str">
        <f>IF(Table_2_UK!I70&lt;&gt;0,"PASS","FAIL")</f>
        <v>PASS</v>
      </c>
      <c r="I49" s="256" t="str">
        <f>IF(Table_2_UK!I70&lt;&gt;0,"","Head "&amp;Table_2_UK!A70&amp;" ("&amp;Title_Page!J49&amp;")")</f>
        <v/>
      </c>
      <c r="J49" s="257">
        <f>Table_2_UK!I70</f>
        <v>3051649</v>
      </c>
      <c r="K49" s="192">
        <f t="shared" si="0"/>
        <v>0</v>
      </c>
      <c r="L49" s="192">
        <f t="shared" si="1"/>
        <v>0</v>
      </c>
      <c r="M49" s="25"/>
      <c r="N49" s="25"/>
    </row>
    <row r="50" spans="1:14" customFormat="1" ht="30.5" customHeight="1" x14ac:dyDescent="0.35">
      <c r="A50" s="263" t="s">
        <v>285</v>
      </c>
      <c r="B50" s="671" t="s">
        <v>286</v>
      </c>
      <c r="C50" s="671"/>
      <c r="D50" s="671"/>
      <c r="E50" s="673" t="str">
        <f>Table_2_UK!$A$1&amp;" Head "&amp;Table_2_UK!A16</f>
        <v>Table 2: Head 1k</v>
      </c>
      <c r="F50" s="673"/>
      <c r="G50" s="254" t="s">
        <v>233</v>
      </c>
      <c r="H50" s="255" t="str">
        <f>IF(Table_2_UK!H16&lt;&gt;0,"PASS","FAIL")</f>
        <v>PASS</v>
      </c>
      <c r="I50" s="256" t="str">
        <f>IF(Table_2_UK!H16&lt;&gt;0,"","Head "&amp;Table_2_UK!A16&amp;" ("&amp;Title_Page!J50&amp;")")</f>
        <v/>
      </c>
      <c r="J50" s="257">
        <f>Table_2_UK!H16</f>
        <v>3443534</v>
      </c>
      <c r="K50" s="192">
        <f t="shared" si="0"/>
        <v>0</v>
      </c>
      <c r="L50" s="192">
        <f t="shared" si="1"/>
        <v>0</v>
      </c>
      <c r="M50" s="25"/>
      <c r="N50" s="25"/>
    </row>
    <row r="51" spans="1:14" customFormat="1" ht="30.5" customHeight="1" x14ac:dyDescent="0.35">
      <c r="A51" s="263" t="s">
        <v>287</v>
      </c>
      <c r="B51" s="671" t="s">
        <v>288</v>
      </c>
      <c r="C51" s="671"/>
      <c r="D51" s="671"/>
      <c r="E51" s="673" t="str">
        <f>Table_2_UK!$A$1&amp;" Head "&amp;Table_2_UK!A16</f>
        <v>Table 2: Head 1k</v>
      </c>
      <c r="F51" s="673"/>
      <c r="G51" s="254" t="s">
        <v>233</v>
      </c>
      <c r="H51" s="255" t="str">
        <f>IF(Table_2_UK!I16&lt;&gt;0,"PASS","FAIL")</f>
        <v>PASS</v>
      </c>
      <c r="I51" s="256" t="str">
        <f>IF(Table_2_UK!I16&lt;&gt;0,"","Head "&amp;Table_2_UK!A16&amp;" ("&amp;Title_Page!J51&amp;")")</f>
        <v/>
      </c>
      <c r="J51" s="257">
        <f>Table_2_UK!I16</f>
        <v>3364722</v>
      </c>
      <c r="K51" s="192">
        <f t="shared" si="0"/>
        <v>0</v>
      </c>
      <c r="L51" s="192">
        <f t="shared" si="1"/>
        <v>0</v>
      </c>
      <c r="M51" s="25"/>
      <c r="N51" s="25"/>
    </row>
    <row r="52" spans="1:14" customFormat="1" ht="30.5" customHeight="1" x14ac:dyDescent="0.35">
      <c r="A52" s="263" t="s">
        <v>289</v>
      </c>
      <c r="B52" s="671" t="s">
        <v>290</v>
      </c>
      <c r="C52" s="671"/>
      <c r="D52" s="671"/>
      <c r="E52" s="673" t="str">
        <f>Table_2_UK!$A$1&amp;" Head "&amp;Table_2_UK!A26</f>
        <v>Table 2: Head 2h</v>
      </c>
      <c r="F52" s="673"/>
      <c r="G52" s="254" t="s">
        <v>233</v>
      </c>
      <c r="H52" s="255" t="str">
        <f>IF(Table_2_UK!H26&lt;&gt;0,"PASS","FAIL")</f>
        <v>PASS</v>
      </c>
      <c r="I52" s="256" t="str">
        <f>IF(Table_2_UK!H26&lt;&gt;0,"","Head "&amp;Table_2_UK!A26&amp;" ("&amp;Title_Page!J52&amp;")")</f>
        <v/>
      </c>
      <c r="J52" s="257">
        <f>Table_2_UK!H26</f>
        <v>702858</v>
      </c>
      <c r="K52" s="192">
        <f t="shared" si="0"/>
        <v>0</v>
      </c>
      <c r="L52" s="192">
        <f t="shared" si="1"/>
        <v>0</v>
      </c>
      <c r="M52" s="25"/>
      <c r="N52" s="25"/>
    </row>
    <row r="53" spans="1:14" customFormat="1" ht="30.5" customHeight="1" x14ac:dyDescent="0.35">
      <c r="A53" s="263" t="s">
        <v>291</v>
      </c>
      <c r="B53" s="671" t="s">
        <v>292</v>
      </c>
      <c r="C53" s="671"/>
      <c r="D53" s="671"/>
      <c r="E53" s="673" t="str">
        <f>Table_2_UK!$A$1&amp;" Head "&amp;Table_2_UK!A26</f>
        <v>Table 2: Head 2h</v>
      </c>
      <c r="F53" s="673"/>
      <c r="G53" s="254" t="s">
        <v>233</v>
      </c>
      <c r="H53" s="255" t="str">
        <f>IF(Table_2_UK!I26&lt;&gt;0,"PASS","FAIL")</f>
        <v>PASS</v>
      </c>
      <c r="I53" s="256" t="str">
        <f>IF(Table_2_UK!I26&lt;&gt;0,"","Head "&amp;Table_2_UK!A26&amp;" ("&amp;Title_Page!J53&amp;")")</f>
        <v/>
      </c>
      <c r="J53" s="257">
        <f>Table_2_UK!I26</f>
        <v>714580</v>
      </c>
      <c r="K53" s="192">
        <f t="shared" si="0"/>
        <v>0</v>
      </c>
      <c r="L53" s="192">
        <f t="shared" si="1"/>
        <v>0</v>
      </c>
      <c r="M53" s="25"/>
      <c r="N53" s="25"/>
    </row>
    <row r="54" spans="1:14" customFormat="1" ht="30.5" customHeight="1" x14ac:dyDescent="0.35">
      <c r="A54" s="263" t="s">
        <v>293</v>
      </c>
      <c r="B54" s="671" t="s">
        <v>294</v>
      </c>
      <c r="C54" s="671"/>
      <c r="D54" s="671"/>
      <c r="E54" s="673" t="str">
        <f>Table_2_UK!$A$1&amp;" Head "&amp;Table_2_UK!A37</f>
        <v>Table 2: Head 3i</v>
      </c>
      <c r="F54" s="673"/>
      <c r="G54" s="254" t="s">
        <v>238</v>
      </c>
      <c r="H54" s="255" t="str">
        <f>IF(Table_2_UK!H37&lt;&gt;0,"PASS","FAIL")</f>
        <v>PASS</v>
      </c>
      <c r="I54" s="256" t="str">
        <f>IF(Table_2_UK!H37&lt;&gt;0,"","Head "&amp;Table_2_UK!A37&amp;" ("&amp;Title_Page!J54&amp;")")</f>
        <v/>
      </c>
      <c r="J54" s="257">
        <f>Table_2_UK!H37</f>
        <v>484298</v>
      </c>
      <c r="K54" s="192">
        <f t="shared" si="0"/>
        <v>0</v>
      </c>
      <c r="L54" s="192">
        <f t="shared" si="1"/>
        <v>0</v>
      </c>
      <c r="M54" s="25"/>
      <c r="N54" s="25"/>
    </row>
    <row r="55" spans="1:14" customFormat="1" ht="30.5" customHeight="1" x14ac:dyDescent="0.35">
      <c r="A55" s="263" t="s">
        <v>295</v>
      </c>
      <c r="B55" s="671" t="s">
        <v>296</v>
      </c>
      <c r="C55" s="671"/>
      <c r="D55" s="671"/>
      <c r="E55" s="673" t="str">
        <f>Table_2_UK!$A$1&amp;" Head "&amp;Table_2_UK!A37</f>
        <v>Table 2: Head 3i</v>
      </c>
      <c r="F55" s="673"/>
      <c r="G55" s="254" t="s">
        <v>238</v>
      </c>
      <c r="H55" s="255" t="str">
        <f>IF(Table_2_UK!I37&lt;&gt;0,"PASS","FAIL")</f>
        <v>PASS</v>
      </c>
      <c r="I55" s="256" t="str">
        <f>IF(Table_2_UK!I37&lt;&gt;0,"","Head "&amp;Table_2_UK!A37&amp;" ("&amp;Title_Page!J55&amp;")")</f>
        <v/>
      </c>
      <c r="J55" s="257">
        <f>Table_2_UK!I37</f>
        <v>476811</v>
      </c>
      <c r="K55" s="192">
        <f t="shared" si="0"/>
        <v>0</v>
      </c>
      <c r="L55" s="192">
        <f t="shared" si="1"/>
        <v>0</v>
      </c>
      <c r="M55" s="25"/>
      <c r="N55" s="25"/>
    </row>
    <row r="56" spans="1:14" customFormat="1" ht="30.5" customHeight="1" x14ac:dyDescent="0.35">
      <c r="A56" s="263" t="s">
        <v>297</v>
      </c>
      <c r="B56" s="671" t="s">
        <v>298</v>
      </c>
      <c r="C56" s="671"/>
      <c r="D56" s="671"/>
      <c r="E56" s="673" t="str">
        <f>Table_2_UK!$A$1&amp;" Head "&amp;Table_2_UK!A58&amp;", "&amp;Table_2_UK!A70</f>
        <v>Table 2: Head 9, 14</v>
      </c>
      <c r="F56" s="673"/>
      <c r="G56" s="254" t="s">
        <v>233</v>
      </c>
      <c r="H56" s="260" t="str">
        <f>IF(Table_2_UK!H58=Table_2_UK!H70,"PASS","FAIL")</f>
        <v>PASS</v>
      </c>
      <c r="I56" s="256" t="str">
        <f>IF(Table_2_UK!H58=Table_2_UK!H70,"","Head "&amp;Table_2_UK!A58&amp;", "&amp;Table_2_UK!A70&amp;" ("&amp;Title_Page!J56&amp;")")</f>
        <v/>
      </c>
      <c r="J56" s="257" t="str">
        <f>(Table_2_UK!H58&amp;", "&amp;Table_2_UK!H70)</f>
        <v>3125830, 3125830</v>
      </c>
      <c r="K56" s="192">
        <f t="shared" ref="K56:K87" si="2">IF(AND(G56="Error",H56="FAIL"),1,0)</f>
        <v>0</v>
      </c>
      <c r="L56" s="192">
        <f t="shared" ref="L56:L87" si="3">IF(AND(G56="Warning",H56="FAIL"),1,0)</f>
        <v>0</v>
      </c>
      <c r="M56" s="25"/>
      <c r="N56" s="25"/>
    </row>
    <row r="57" spans="1:14" customFormat="1" ht="30.5" customHeight="1" x14ac:dyDescent="0.35">
      <c r="A57" s="263" t="s">
        <v>299</v>
      </c>
      <c r="B57" s="671" t="s">
        <v>300</v>
      </c>
      <c r="C57" s="671"/>
      <c r="D57" s="671"/>
      <c r="E57" s="673" t="str">
        <f>Table_2_UK!$A$1&amp;" Head "&amp;Table_2_UK!A58&amp;", "&amp;Table_2_UK!A70</f>
        <v>Table 2: Head 9, 14</v>
      </c>
      <c r="F57" s="673"/>
      <c r="G57" s="254" t="s">
        <v>233</v>
      </c>
      <c r="H57" s="260" t="str">
        <f>IF(Table_2_UK!I58=Table_2_UK!I70,"PASS","FAIL")</f>
        <v>PASS</v>
      </c>
      <c r="I57" s="256" t="str">
        <f>IF(Table_2_UK!I58=Table_2_UK!I70,"","Head "&amp;Table_2_UK!A58&amp;", "&amp;Table_2_UK!A70&amp;" ("&amp;Title_Page!J57&amp;")")</f>
        <v/>
      </c>
      <c r="J57" s="257" t="str">
        <f>(Table_2_UK!I58&amp;", "&amp;Table_2_UK!I70)</f>
        <v>3051649, 3051649</v>
      </c>
      <c r="K57" s="192">
        <f t="shared" si="2"/>
        <v>0</v>
      </c>
      <c r="L57" s="192">
        <f t="shared" si="3"/>
        <v>0</v>
      </c>
      <c r="M57" s="25"/>
      <c r="N57" s="25"/>
    </row>
    <row r="58" spans="1:14" customFormat="1" ht="30.5" customHeight="1" x14ac:dyDescent="0.35">
      <c r="A58" s="263" t="s">
        <v>301</v>
      </c>
      <c r="B58" s="671" t="s">
        <v>302</v>
      </c>
      <c r="C58" s="671"/>
      <c r="D58" s="671"/>
      <c r="E58" s="673" t="str">
        <f>Table_2_UK!$A$1&amp;" Head "&amp;Table_2_UK!A8</f>
        <v>Table 2: Head 1c</v>
      </c>
      <c r="F58" s="673"/>
      <c r="G58" s="255" t="s">
        <v>233</v>
      </c>
      <c r="H58" s="255" t="str">
        <f>IF(Table_2_UK!H8&lt;=0,"PASS","FAIL")</f>
        <v>PASS</v>
      </c>
      <c r="I58" s="256" t="str">
        <f>IF(Table_2_UK!H8&lt;=0,"","Head "&amp;Table_2_UK!A8&amp;" ("&amp;Title_Page!J58&amp;")")</f>
        <v/>
      </c>
      <c r="J58" s="257">
        <f>Table_2_UK!H8</f>
        <v>0</v>
      </c>
      <c r="K58" s="192">
        <f t="shared" si="2"/>
        <v>0</v>
      </c>
      <c r="L58" s="192">
        <f t="shared" si="3"/>
        <v>0</v>
      </c>
      <c r="M58" s="25"/>
      <c r="N58" s="25"/>
    </row>
    <row r="59" spans="1:14" customFormat="1" ht="30.5" customHeight="1" x14ac:dyDescent="0.35">
      <c r="A59" s="263" t="s">
        <v>303</v>
      </c>
      <c r="B59" s="671" t="s">
        <v>304</v>
      </c>
      <c r="C59" s="671"/>
      <c r="D59" s="671"/>
      <c r="E59" s="673" t="str">
        <f>Table_2_UK!$A$1&amp;" Head "&amp;Table_2_UK!A8</f>
        <v>Table 2: Head 1c</v>
      </c>
      <c r="F59" s="673"/>
      <c r="G59" s="255" t="s">
        <v>233</v>
      </c>
      <c r="H59" s="255" t="str">
        <f>IF(Table_2_UK!I8&lt;=0,"PASS","FAIL")</f>
        <v>PASS</v>
      </c>
      <c r="I59" s="256" t="str">
        <f>IF(Table_2_UK!I8&lt;=0,"","Head "&amp;Table_2_UK!A8&amp;" ("&amp;Title_Page!J59&amp;")")</f>
        <v/>
      </c>
      <c r="J59" s="257">
        <f>Table_2_UK!I8</f>
        <v>0</v>
      </c>
      <c r="K59" s="192">
        <f t="shared" si="2"/>
        <v>0</v>
      </c>
      <c r="L59" s="192">
        <f t="shared" si="3"/>
        <v>0</v>
      </c>
      <c r="M59" s="25"/>
      <c r="N59" s="25"/>
    </row>
    <row r="60" spans="1:14" customFormat="1" ht="30.5" customHeight="1" x14ac:dyDescent="0.35">
      <c r="A60" s="263" t="s">
        <v>305</v>
      </c>
      <c r="B60" s="671" t="s">
        <v>306</v>
      </c>
      <c r="C60" s="671"/>
      <c r="D60" s="671"/>
      <c r="E60" s="673" t="str">
        <f>Table_2_UK!$A$1&amp;" Head "&amp;Table_2_UK!A10</f>
        <v>Table 2: Head 1e</v>
      </c>
      <c r="F60" s="673"/>
      <c r="G60" s="254" t="s">
        <v>233</v>
      </c>
      <c r="H60" s="255" t="str">
        <f>IF(Table_2_UK!H10&lt;&gt;0,"PASS","FAIL")</f>
        <v>PASS</v>
      </c>
      <c r="I60" s="256" t="str">
        <f>IF(Table_2_UK!H10&lt;&gt;0,"","Head "&amp;Table_2_UK!A10&amp;" ("&amp;Title_Page!J60&amp;")")</f>
        <v/>
      </c>
      <c r="J60" s="261">
        <f>Table_2_UK!H10</f>
        <v>2249847</v>
      </c>
      <c r="K60" s="192">
        <f t="shared" si="2"/>
        <v>0</v>
      </c>
      <c r="L60" s="192">
        <f t="shared" si="3"/>
        <v>0</v>
      </c>
      <c r="M60" s="25"/>
      <c r="N60" s="25"/>
    </row>
    <row r="61" spans="1:14" customFormat="1" ht="30.5" customHeight="1" x14ac:dyDescent="0.35">
      <c r="A61" s="263" t="s">
        <v>307</v>
      </c>
      <c r="B61" s="671" t="s">
        <v>308</v>
      </c>
      <c r="C61" s="671"/>
      <c r="D61" s="671"/>
      <c r="E61" s="673" t="str">
        <f>Table_2_UK!$A$1&amp;" Head "&amp;Table_2_UK!A10</f>
        <v>Table 2: Head 1e</v>
      </c>
      <c r="F61" s="673"/>
      <c r="G61" s="254" t="s">
        <v>233</v>
      </c>
      <c r="H61" s="255" t="str">
        <f>IF(Table_2_UK!I10&lt;&gt;0,"PASS","FAIL")</f>
        <v>PASS</v>
      </c>
      <c r="I61" s="256" t="str">
        <f>IF(Table_2_UK!I10&lt;&gt;0,"","Head "&amp;Table_2_UK!A10&amp;" ("&amp;Title_Page!J61&amp;")")</f>
        <v/>
      </c>
      <c r="J61" s="261">
        <f>Table_2_UK!I10</f>
        <v>2151322</v>
      </c>
      <c r="K61" s="192">
        <f t="shared" si="2"/>
        <v>0</v>
      </c>
      <c r="L61" s="192">
        <f t="shared" si="3"/>
        <v>0</v>
      </c>
      <c r="M61" s="25"/>
      <c r="N61" s="25"/>
    </row>
    <row r="62" spans="1:14" customFormat="1" ht="30.5" customHeight="1" x14ac:dyDescent="0.35">
      <c r="A62" s="262" t="s">
        <v>309</v>
      </c>
      <c r="B62" s="671" t="s">
        <v>310</v>
      </c>
      <c r="C62" s="671"/>
      <c r="D62" s="671"/>
      <c r="E62" s="673" t="str">
        <f>Table_2_UK!$A$1&amp;" Head "&amp;Table_2_UK!A6&amp;", "&amp;Table_2_UK!A7&amp;", "&amp;Table_2_UK!A8&amp;", "&amp;Table_2_UK!A10&amp;", "&amp;Table_2_UK!A11&amp;", "&amp;Table_2_UK!A12&amp;", "&amp;Table_2_UK!A14&amp;", "&amp;Table_2_UK!A15&amp;", "&amp;Table_2_UK!A19&amp;", "&amp;Table_2_UK!A20&amp;", "&amp;Table_2_UK!A21&amp;", "&amp;Table_2_UK!A24&amp;", "&amp;Table_2_UK!A25&amp;", "&amp;Table_2_UK!A29&amp;", "&amp;Table_2_UK!A30&amp;", "&amp;Table_2_UK!A31&amp;", "&amp;Table_2_UK!A32&amp;", "&amp;Table_2_UK!A34&amp;", "&amp;Table_2_UK!A36&amp;", "&amp;Table_2_UK!A39&amp;", "&amp;Table_2_UK!A46&amp;", "&amp;Table_2_UK!A47&amp;", "&amp;Table_2_UK!A48&amp;", "&amp;Table_2_UK!A50&amp;", "&amp;Table_2_UK!A54&amp;", "&amp;Table_2_UK!A55&amp;", "&amp;Table_2_UK!A61&amp;", "&amp;Table_2_UK!A62&amp;", "&amp;Table_2_UK!A64&amp;", "&amp;Table_2_UK!A65&amp;", "&amp;Table_2_UK!A68</f>
        <v>Table 2: Head 1a, 1b, 1c, 1e, 1f, 1g, 1i, 1j, 2a, 2b, 2c, 2f, 2g, 3a, 3b, 3c, 3d, 3f, 3h, 4, 7a, 7b, 7c, 7e, 8a, 8b, 10a, 10b, 11a, 11b, 13</v>
      </c>
      <c r="F62" s="673"/>
      <c r="G62" s="255" t="s">
        <v>238</v>
      </c>
      <c r="H62" s="260" t="str">
        <f>IF(OR(AND(Table_2_UK!K6&gt;750,Table_2_UK!L6&gt;2),AND(Table_2_UK!K6&lt;-750,Table_2_UK!L6&gt;2),AND(Table_2_UK!K7&gt;750,Table_2_UK!L7&gt;2),AND(Table_2_UK!K7&lt;-750,Table_2_UK!L7&gt;2),AND(Table_2_UK!K8&gt;750,Table_2_UK!L8&gt;2),AND(Table_2_UK!K8&lt;-750,Table_2_UK!L8&gt;2),AND(Table_2_UK!K10&gt;750,Table_2_UK!L10&gt;2),AND(Table_2_UK!K10&lt;-750,Table_2_UK!L10&gt;2),AND(Table_2_UK!K11&gt;750,Table_2_UK!L11&gt;2),AND(Table_2_UK!K11&lt;-750,Table_2_UK!L11&gt;2),AND(Table_2_UK!K12&gt;750,Table_2_UK!L12&gt;2),AND(Table_2_UK!K12&lt;-750,Table_2_UK!L12&gt;2),AND(Table_2_UK!K14&gt;750,Table_2_UK!L14&gt;2),AND(Table_2_UK!K14&lt;-750,Table_2_UK!L14&gt;2),AND(Table_2_UK!K15&gt;750,Table_2_UK!L15&gt;2),AND(Table_2_UK!K15&lt;-750,Table_2_UK!L15&gt;2),AND(Table_2_UK!K19&gt;750,Table_2_UK!L19&gt;2),AND(Table_2_UK!K19&lt;-750,Table_2_UK!L19&gt;2),AND(Table_2_UK!K20&gt;750,Table_2_UK!L20&gt;2),AND(Table_2_UK!K20&lt;-750,Table_2_UK!L20&gt;2),AND(Table_2_UK!K21&gt;750,Table_2_UK!L21&gt;2),AND(Table_2_UK!K21&lt;-750,Table_2_UK!L21&gt;2),AND(Table_2_UK!K24&gt;750,Table_2_UK!L24&gt;2),AND(Table_2_UK!K24&lt;-750,Table_2_UK!L24&gt;2),AND(Table_2_UK!K25&gt;750,Table_2_UK!L25&gt;2),AND(Table_2_UK!K25&lt;-750,Table_2_UK!L25&gt;2),AND(Table_2_UK!K29&gt;750,Table_2_UK!L29&gt;2),AND(Table_2_UK!K29&lt;-750,Table_2_UK!L29&gt;2),AND(Table_2_UK!K30&gt;750,Table_2_UK!L30&gt;2),AND(Table_2_UK!K30&lt;-750,Table_2_UK!L30&gt;2),AND(Table_2_UK!K31&gt;750,Table_2_UK!L31&gt;2),AND(Table_2_UK!K31&lt;-750,Table_2_UK!L31&gt;2),AND(Table_2_UK!K32&gt;750,Table_2_UK!L32&gt;2),AND(Table_2_UK!K32&lt;-750,Table_2_UK!L32&gt;2),AND(Table_2_UK!K34&gt;750,Table_2_UK!L34&gt;2),AND(Table_2_UK!K34&lt;-750,Table_2_UK!L34&gt;2),AND(Table_2_UK!K36&gt;750,Table_2_UK!L36&gt;2),AND(Table_2_UK!K36&lt;-750,Table_2_UK!L36&gt;2),AND(Table_2_UK!K39&gt;750,Table_2_UK!L39&gt;2),AND(Table_2_UK!K39&lt;-750,Table_2_UK!L39&gt;2),AND(Table_2_UK!K46&gt;750,Table_2_UK!L46&gt;2),AND(Table_2_UK!K46&lt;-750,Table_2_UK!L46&gt;2),AND(Table_2_UK!K47&gt;750,Table_2_UK!L47&gt;2),AND(Table_2_UK!K47&lt;-750,Table_2_UK!L47&gt;2),AND(Table_2_UK!K48&gt;750,Table_2_UK!L48&gt;2),AND(Table_2_UK!K48&lt;-750,Table_2_UK!L48&gt;2),AND(Table_2_UK!K50&gt;750,Table_2_UK!L50&gt;2),AND(Table_2_UK!K50&lt;-750,Table_2_UK!L50&gt;2),AND(Table_2_UK!K54&gt;750,Table_2_UK!L54&gt;2),AND(Table_2_UK!K54&lt;-750,Table_2_UK!L54&gt;2),AND(Table_2_UK!K55&gt;750,Table_2_UK!L55&gt;2),AND(Table_2_UK!K55&lt;-750,Table_2_UK!L55&gt;2),AND(Table_2_UK!K61&gt;750,Table_2_UK!L61&gt;2),AND(Table_2_UK!K61&lt;-750,Table_2_UK!L61&gt;2),AND(Table_2_UK!K62&gt;750,Table_2_UK!L62&gt;2),AND(Table_2_UK!K62&lt;-750,Table_2_UK!L62&gt;2),AND(Table_2_UK!K64&gt;750,Table_2_UK!L64&gt;2),AND(Table_2_UK!K64&lt;-750,Table_2_UK!L64&gt;2),AND(Table_2_UK!K65&gt;750,Table_2_UK!L65&gt;2),AND(Table_2_UK!K65&lt;-750,Table_2_UK!L65&gt;2),AND(Table_2_UK!K68&gt;750,Table_2_UK!L68&gt;2),AND(Table_2_UK!K68&lt;-750,Table_2_UK!L68&gt;2)),"FAIL","PASS")</f>
        <v>FAIL</v>
      </c>
      <c r="I62" s="256" t="str">
        <f>IF(Table_2_UK!S1="FAIL",CONCATENATE(Table_2_UK!S5," ",Table_2_UK!S6,Table_2_UK!S7,Table_2_UK!S8,Table_2_UK!S10,Table_2_UK!S11,Table_2_UK!S12,Table_2_UK!S14,Table_2_UK!S15,Table_2_UK!S19,Table_2_UK!S20,Table_2_UK!S21,Table_2_UK!S24,Table_2_UK!S25,Table_2_UK!S29,Table_2_UK!S30,Table_2_UK!S31,Table_2_UK!S32,Table_2_UK!S34,Table_2_UK!S36,Table_2_UK!S39,Table_2_UK!S46,Table_2_UK!S47,Table_2_UK!S48,Table_2_UK!S50,Table_2_UK!S54,Table_2_UK!S55,Table_2_UK!S61,Table_2_UK!S62,Table_2_UK!S64,Table_2_UK!S65,Table_2_UK!S68),"")</f>
        <v xml:space="preserve">Head 2g (21425, 0), 8a (0, 12071), 8b (8560, 600), </v>
      </c>
      <c r="J62" s="261" t="str">
        <f>Table_2_UK!H6&amp;", "&amp;Table_2_UK!H7&amp;", "&amp;Table_2_UK!H8&amp;", "&amp;Table_2_UK!H10&amp;", "&amp;Table_2_UK!H11&amp;", "&amp;Table_2_UK!H12&amp;", "&amp;Table_2_UK!H14&amp;", "&amp;Table_2_UK!H15&amp;", "&amp;Table_2_UK!H19&amp;", "&amp;Table_2_UK!H20&amp;", "&amp;Table_2_UK!H21&amp;", "&amp;Table_2_UK!H24&amp;", "&amp;Table_2_UK!H25&amp;", "&amp;Table_2_UK!H29&amp;", "&amp;Table_2_UK!H30&amp;", "&amp;Table_2_UK!H31&amp;", "&amp;Table_2_UK!H32&amp;", "&amp;Table_2_UK!H34&amp;", "&amp;Table_2_UK!H36&amp;", "&amp;Table_2_UK!H39&amp;", "&amp;Table_2_UK!H46&amp;", "&amp;Table_2_UK!H47&amp;", "&amp;Table_2_UK!H48&amp;", "&amp;Table_2_UK!H50&amp;", "&amp;Table_2_UK!H54&amp;", "&amp;Table_2_UK!H55&amp;", "&amp;Table_2_UK!H61&amp;", "&amp;Table_2_UK!H62&amp;", "&amp;Table_2_UK!H64&amp;", "&amp;Table_2_UK!H65&amp;", "&amp;Table_2_UK!H68</f>
        <v>23852, 0, 0, 2249847, 218114, 951721, 0, 0, 4333, 321102, 139000, 0, 21425, 0, 7921, 106, 0, 2214, 452334, 0, 513138, 115, 14451, 0, 0, 8560, 604765, 88053, 2224612, 208400, 0</v>
      </c>
      <c r="K62" s="192">
        <f t="shared" si="2"/>
        <v>0</v>
      </c>
      <c r="L62" s="192">
        <f t="shared" si="3"/>
        <v>1</v>
      </c>
      <c r="M62" s="25"/>
      <c r="N62" s="25"/>
    </row>
    <row r="63" spans="1:14" customFormat="1" ht="30.5" customHeight="1" x14ac:dyDescent="0.35">
      <c r="A63" s="262" t="s">
        <v>311</v>
      </c>
      <c r="B63" s="671" t="s">
        <v>312</v>
      </c>
      <c r="C63" s="671"/>
      <c r="D63" s="671"/>
      <c r="E63" s="673" t="str">
        <f>Table_2_UK!$A$1&amp;" Head "&amp;Table_2_UK!A6&amp;", "&amp;Table_2_UK!A7&amp;", "&amp;Table_2_UK!A8&amp;", "&amp;Table_2_UK!A10&amp;", "&amp;Table_2_UK!A11&amp;", "&amp;Table_2_UK!A12&amp;", "&amp;Table_2_UK!A14&amp;", "&amp;Table_2_UK!A15&amp;", "&amp;Table_2_UK!A19&amp;", "&amp;Table_2_UK!A20&amp;", "&amp;Table_2_UK!A21&amp;", "&amp;Table_2_UK!A24&amp;", "&amp;Table_2_UK!A25&amp;", "&amp;Table_2_UK!A29&amp;", "&amp;Table_2_UK!A30&amp;", "&amp;Table_2_UK!A31&amp;", "&amp;Table_2_UK!A32&amp;", "&amp;Table_2_UK!A34&amp;", "&amp;Table_2_UK!A36&amp;", "&amp;Table_2_UK!A39&amp;", "&amp;Table_2_UK!A46&amp;", "&amp;Table_2_UK!A47&amp;", "&amp;Table_2_UK!A48&amp;", "&amp;Table_2_UK!A50&amp;", "&amp;Table_2_UK!A54&amp;", "&amp;Table_2_UK!A55&amp;", "&amp;Table_2_UK!A61&amp;", "&amp;Table_2_UK!A62&amp;", "&amp;Table_2_UK!A64&amp;", "&amp;Table_2_UK!A65&amp;", "&amp;Table_2_UK!A68</f>
        <v>Table 2: Head 1a, 1b, 1c, 1e, 1f, 1g, 1i, 1j, 2a, 2b, 2c, 2f, 2g, 3a, 3b, 3c, 3d, 3f, 3h, 4, 7a, 7b, 7c, 7e, 8a, 8b, 10a, 10b, 11a, 11b, 13</v>
      </c>
      <c r="F63" s="673"/>
      <c r="G63" s="255" t="s">
        <v>238</v>
      </c>
      <c r="H63" s="260" t="str">
        <f>IF(OR(AND(Table_2_UK!I6&lt;&gt;Table_2_UK!J6),AND(Table_2_UK!I7&lt;&gt;Table_2_UK!J7),AND(Table_2_UK!I8&lt;&gt;Table_2_UK!J8),AND(Table_2_UK!I10&lt;&gt;Table_2_UK!J10),AND(Table_2_UK!I11&lt;&gt;Table_2_UK!J11),AND(Table_2_UK!I12&lt;&gt;Table_2_UK!J12),AND(Table_2_UK!I14&lt;&gt;Table_2_UK!J14),AND(Table_2_UK!I15&lt;&gt;Table_2_UK!J15),AND(Table_2_UK!I19&lt;&gt;Table_2_UK!J19),AND(Table_2_UK!I20&lt;&gt;Table_2_UK!J20),AND(Table_2_UK!I21&lt;&gt;Table_2_UK!J21),AND(Table_2_UK!I24&lt;&gt;Table_2_UK!J24),AND(Table_2_UK!I25&lt;&gt;Table_2_UK!J25),AND(Table_2_UK!I29&lt;&gt;Table_2_UK!J29),AND(Table_2_UK!I30&lt;&gt;Table_2_UK!J30),AND(Table_2_UK!I31&lt;&gt;Table_2_UK!J31),AND(Table_2_UK!I32&lt;&gt;Table_2_UK!J32),AND(Table_2_UK!I34&lt;&gt;Table_2_UK!J34),AND(Table_2_UK!I36&lt;&gt;Table_2_UK!J36),AND(Table_2_UK!I39&lt;&gt;Table_2_UK!J39),AND(Table_2_UK!I46&lt;&gt;Table_2_UK!J46),AND(Table_2_UK!I47&lt;&gt;Table_2_UK!J47),AND(Table_2_UK!I48&lt;&gt;Table_2_UK!J48),AND(Table_2_UK!I50&lt;&gt;Table_2_UK!J50),AND(Table_2_UK!I54&lt;&gt;Table_2_UK!J54),AND(Table_2_UK!I55&lt;&gt;Table_2_UK!J55),AND(Table_2_UK!I61&lt;&gt;Table_2_UK!J61),AND(Table_2_UK!I62&lt;&gt;Table_2_UK!J62),AND(Table_2_UK!I64&lt;&gt;Table_2_UK!J64),AND(Table_2_UK!I65&lt;&gt;Table_2_UK!J65),AND(Table_2_UK!I68&lt;&gt;Table_2_UK!J68)),"FAIL","PASS")</f>
        <v>FAIL</v>
      </c>
      <c r="I63" s="256" t="str">
        <f>IF(Table_2_UK!U1="FAIL",CONCATENATE(Table_2_UK!U5," ",Table_2_UK!U6,Table_2_UK!U7,Table_2_UK!U8,Table_2_UK!U10,Table_2_UK!U11,Table_2_UK!U12,Table_2_UK!U14,Table_2_UK!U15,Table_2_UK!U19,Table_2_UK!U20,Table_2_UK!U21,Table_2_UK!U24,Table_2_UK!U25,Table_2_UK!U29,Table_2_UK!U30,Table_2_UK!U31,Table_2_UK!U32,Table_2_UK!U34,Table_2_UK!U36,Table_2_UK!U39,Table_2_UK!U46,Table_2_UK!U47,Table_2_UK!U48,Table_2_UK!U50,Table_2_UK!U54,Table_2_UK!U55,Table_2_UK!U61,Table_2_UK!U62,Table_2_UK!U64,Table_2_UK!U65,Table_2_UK!U68),"")</f>
        <v xml:space="preserve">Head 2b (330900, 302900), 3h (448632, 420632), </v>
      </c>
      <c r="J63" s="261" t="str">
        <f>Table_2_UK!I6&amp;", "&amp;Table_2_UK!I7&amp;", "&amp;Table_2_UK!I8&amp;", "&amp;Table_2_UK!I10&amp;", "&amp;Table_2_UK!I11&amp;", "&amp;Table_2_UK!I12&amp;", "&amp;Table_2_UK!I14&amp;", "&amp;Table_2_UK!I15&amp;", "&amp;Table_2_UK!I19&amp;", "&amp;Table_2_UK!I20&amp;", "&amp;Table_2_UK!I21&amp;", "&amp;Table_2_UK!I24&amp;", "&amp;Table_2_UK!I25&amp;", "&amp;Table_2_UK!I29&amp;", "&amp;Table_2_UK!I30&amp;", "&amp;Table_2_UK!I31&amp;", "&amp;Table_2_UK!I32&amp;", "&amp;Table_2_UK!I34&amp;", "&amp;Table_2_UK!I36&amp;", "&amp;Table_2_UK!I39&amp;", "&amp;Table_2_UK!I46&amp;", "&amp;Table_2_UK!I47&amp;", "&amp;Table_2_UK!I48&amp;", "&amp;Table_2_UK!I50&amp;", "&amp;Table_2_UK!I54&amp;", "&amp;Table_2_UK!I55&amp;", "&amp;Table_2_UK!I61&amp;", "&amp;Table_2_UK!I62&amp;", "&amp;Table_2_UK!I64&amp;", "&amp;Table_2_UK!I65&amp;", "&amp;Table_2_UK!I68</f>
        <v>26400, 0, 0, 2151322, 217500, 969500, 0, 0, 4594, 330900, 139000, 0, 0, 0, 8751, 114, 0, 2214, 448632, 0, 521284, 221, 16666, 0, 12071, 600, 580400, 98900, 2163949, 208400, 0</v>
      </c>
      <c r="K63" s="192">
        <f t="shared" si="2"/>
        <v>0</v>
      </c>
      <c r="L63" s="192">
        <f t="shared" si="3"/>
        <v>1</v>
      </c>
      <c r="M63" s="25"/>
      <c r="N63" s="25"/>
    </row>
    <row r="64" spans="1:14" customFormat="1" ht="30.5" customHeight="1" x14ac:dyDescent="0.35">
      <c r="A64" s="262" t="s">
        <v>313</v>
      </c>
      <c r="B64" s="671" t="s">
        <v>314</v>
      </c>
      <c r="C64" s="671"/>
      <c r="D64" s="671"/>
      <c r="E64" s="673" t="str">
        <f>Table_2_UK!$A$1&amp;" Head "&amp;Table_2_UK!A21&amp;", "&amp;Table_2_Scotland!$A$1&amp; " Head "&amp;Table_2_Scotland!A12</f>
        <v>Table 2: Head 2c, Table 2_S: Head 1f</v>
      </c>
      <c r="F64" s="673"/>
      <c r="G64" s="260" t="s">
        <v>233</v>
      </c>
      <c r="H64" s="260" t="str">
        <f>IF(AND($B$4="S",(Table_2_UK!H21&lt;&gt;Table_2_Scotland!H12)),"FAIL","PASS")</f>
        <v>PASS</v>
      </c>
      <c r="I64" s="256" t="str">
        <f>IF(AND($B$4="S",(Table_2_UK!H21&lt;&gt;Table_2_Scotland!H12)),Table_2_UK!$A$1&amp;" Head "&amp;Table_2_UK!A21&amp;" ("&amp;Table_2_UK!H21&amp;")"&amp;", "&amp;Table_2_Scotland!$A$1&amp; " Head "&amp;Table_2_Scotland!A12&amp;" ("&amp;Table_2_Scotland!H12&amp;")","")</f>
        <v/>
      </c>
      <c r="J64" s="257" t="str">
        <f>Table_2_UK!H21&amp;", "&amp;Table_2_Scotland!H12</f>
        <v>139000, 139000</v>
      </c>
      <c r="K64" s="192">
        <f t="shared" si="2"/>
        <v>0</v>
      </c>
      <c r="L64" s="192">
        <f t="shared" si="3"/>
        <v>0</v>
      </c>
      <c r="M64" s="25"/>
      <c r="N64" s="25"/>
    </row>
    <row r="65" spans="1:14" customFormat="1" ht="30.5" customHeight="1" x14ac:dyDescent="0.35">
      <c r="A65" s="262" t="s">
        <v>315</v>
      </c>
      <c r="B65" s="671" t="s">
        <v>316</v>
      </c>
      <c r="C65" s="671"/>
      <c r="D65" s="671"/>
      <c r="E65" s="673" t="str">
        <f>Table_2_UK!$A$1&amp;" Head "&amp;Table_2_UK!A22&amp;", "&amp;Table_2_Scotland!$A$1&amp; " Head "&amp;Table_2_Scotland!A20</f>
        <v>Table 2: Head 2d, Table 2_S: Head 2f</v>
      </c>
      <c r="F65" s="673"/>
      <c r="G65" s="260" t="s">
        <v>233</v>
      </c>
      <c r="H65" s="260" t="str">
        <f>IF(AND($B$4="S",(Table_2_UK!H22&lt;&gt;Table_2_Scotland!H20)),"FAIL","PASS")</f>
        <v>PASS</v>
      </c>
      <c r="I65" s="256" t="str">
        <f>IF(AND($B$4="S",(Table_2_UK!H22&lt;&gt;Table_2_Scotland!H20)),Table_2_UK!$A$1&amp;" Head "&amp;Table_2_UK!A22&amp;" ("&amp;Table_2_UK!H22&amp;")"&amp;", "&amp;Table_2_Scotland!$A$1&amp; " Head "&amp;Table_2_Scotland!A20&amp;" ("&amp;Table_2_Scotland!H20&amp;")","")</f>
        <v/>
      </c>
      <c r="J65" s="257" t="str">
        <f>Table_2_UK!H22&amp;", "&amp;Table_2_Scotland!H20</f>
        <v>216998, 216998</v>
      </c>
      <c r="K65" s="192">
        <f t="shared" si="2"/>
        <v>0</v>
      </c>
      <c r="L65" s="192">
        <f t="shared" si="3"/>
        <v>0</v>
      </c>
      <c r="M65" s="25"/>
      <c r="N65" s="25"/>
    </row>
    <row r="66" spans="1:14" customFormat="1" ht="30.5" customHeight="1" x14ac:dyDescent="0.35">
      <c r="A66" s="262" t="s">
        <v>317</v>
      </c>
      <c r="B66" s="671" t="s">
        <v>318</v>
      </c>
      <c r="C66" s="671"/>
      <c r="D66" s="671"/>
      <c r="E66" s="673" t="str">
        <f>Table_2_UK!$A$1&amp;" Head "&amp;Table_2_UK!A21&amp;", "&amp;Table_2_Scotland!$A$1&amp; " Head "&amp;Table_2_Scotland!A12</f>
        <v>Table 2: Head 2c, Table 2_S: Head 1f</v>
      </c>
      <c r="F66" s="673"/>
      <c r="G66" s="260" t="s">
        <v>233</v>
      </c>
      <c r="H66" s="260" t="str">
        <f>IF(AND($B$4="S",(Table_2_UK!I21&lt;&gt;Table_2_Scotland!I12)),"FAIL","PASS")</f>
        <v>PASS</v>
      </c>
      <c r="I66" s="256" t="str">
        <f>IF(AND($B$4="S",(Table_2_UK!I21&lt;&gt;Table_2_Scotland!I12)),Table_2_UK!$A$1&amp;" Head "&amp;Table_2_UK!A21&amp;" ("&amp;Table_2_UK!I21&amp;")"&amp;", "&amp;Table_2_Scotland!$A$1&amp; " Head "&amp;Table_2_Scotland!A12&amp;" ("&amp;Table_2_Scotland!I12&amp;")"&amp;", ","")</f>
        <v/>
      </c>
      <c r="J66" s="257" t="str">
        <f>Table_2_UK!I21&amp;", "&amp;Table_2_Scotland!I12</f>
        <v>139000, 139000</v>
      </c>
      <c r="K66" s="192">
        <f t="shared" si="2"/>
        <v>0</v>
      </c>
      <c r="L66" s="192">
        <f t="shared" si="3"/>
        <v>0</v>
      </c>
      <c r="M66" s="25"/>
      <c r="N66" s="25"/>
    </row>
    <row r="67" spans="1:14" customFormat="1" ht="30.5" customHeight="1" x14ac:dyDescent="0.35">
      <c r="A67" s="262" t="s">
        <v>319</v>
      </c>
      <c r="B67" s="671" t="s">
        <v>320</v>
      </c>
      <c r="C67" s="671"/>
      <c r="D67" s="671"/>
      <c r="E67" s="673" t="str">
        <f>Table_2_UK!$A$1&amp;" Head "&amp;Table_2_UK!A22&amp;", "&amp;Table_2_Scotland!$A$1&amp; " Head "&amp;Table_2_Scotland!A20</f>
        <v>Table 2: Head 2d, Table 2_S: Head 2f</v>
      </c>
      <c r="F67" s="673"/>
      <c r="G67" s="260" t="s">
        <v>233</v>
      </c>
      <c r="H67" s="260" t="str">
        <f>IF(AND($B$4="S",(Table_2_UK!I22&lt;&gt;Table_2_Scotland!I20)),"FAIL","PASS")</f>
        <v>PASS</v>
      </c>
      <c r="I67" s="256" t="str">
        <f>IF(AND($B$4="S",(Table_2_UK!I22&lt;&gt;Table_2_Scotland!I20)),Table_2_UK!$A$1&amp;" Head "&amp;Table_2_UK!A22&amp;" ("&amp;Table_2_UK!I22&amp;")"&amp;", "&amp;Table_2_Scotland!$A$1&amp; " Head "&amp;Table_2_Scotland!A20&amp;" ("&amp;Table_2_Scotland!I20&amp;")","")</f>
        <v/>
      </c>
      <c r="J67" s="257" t="str">
        <f>Table_2_UK!I22&amp;", "&amp;Table_2_Scotland!I20</f>
        <v>240086, 240086</v>
      </c>
      <c r="K67" s="192">
        <f t="shared" si="2"/>
        <v>0</v>
      </c>
      <c r="L67" s="192">
        <f t="shared" si="3"/>
        <v>0</v>
      </c>
      <c r="M67" s="25"/>
      <c r="N67" s="25"/>
    </row>
    <row r="68" spans="1:14" customFormat="1" ht="30.5" customHeight="1" x14ac:dyDescent="0.35">
      <c r="A68" s="262" t="s">
        <v>321</v>
      </c>
      <c r="B68" s="671" t="s">
        <v>322</v>
      </c>
      <c r="C68" s="671"/>
      <c r="D68" s="671"/>
      <c r="E68" s="673" t="str">
        <f>Table_2_Scotland!$A$1&amp;" Head "&amp;Table_2_Scotland!A12&amp;", "&amp;Table_2_Scotland!A20</f>
        <v>Table 2_S: Head 1f, 2f</v>
      </c>
      <c r="F68" s="673"/>
      <c r="G68" s="255" t="s">
        <v>238</v>
      </c>
      <c r="H68" s="260" t="str">
        <f>IF(AND($B$4="S", OR(Table_2_Scotland!H12+Table_2_Scotland!H20=0,Table_2_Scotland!I12+Table_2_Scotland!I20=0)),"FAIL","PASS")</f>
        <v>PASS</v>
      </c>
      <c r="I68" s="256" t="str">
        <f>IF(AND($B$4="S", OR(Table_2_Scotland!H12+Table_2_Scotland!H20=0,Table_2_Scotland!I12+Table_2_Scotland!I20=0)),"Head "&amp;Table_2_Scotland!A12&amp;", "&amp;Table_2_Scotland!A20&amp;" ("&amp;J68&amp;")","")</f>
        <v/>
      </c>
      <c r="J68" s="257" t="str">
        <f>Table_2_Scotland!H12&amp;", "&amp;Table_2_Scotland!H20&amp;", "&amp;Table_2_Scotland!I12&amp;", "&amp;Table_2_Scotland!I20</f>
        <v>139000, 216998, 139000, 240086</v>
      </c>
      <c r="K68" s="192">
        <f t="shared" si="2"/>
        <v>0</v>
      </c>
      <c r="L68" s="192">
        <f t="shared" si="3"/>
        <v>0</v>
      </c>
      <c r="M68" s="25"/>
      <c r="N68" s="25"/>
    </row>
    <row r="69" spans="1:14" customFormat="1" ht="30.5" customHeight="1" x14ac:dyDescent="0.35">
      <c r="A69" s="262" t="s">
        <v>323</v>
      </c>
      <c r="B69" s="671" t="s">
        <v>324</v>
      </c>
      <c r="C69" s="671"/>
      <c r="D69" s="671"/>
      <c r="E69" s="673" t="str">
        <f>Table_2_Scotland!$A$1&amp;" Head "&amp;Table_2_Scotland!A12&amp;", "&amp;Table_2_Scotland!A20</f>
        <v>Table 2_S: Head 1f, 2f</v>
      </c>
      <c r="F69" s="673"/>
      <c r="G69" s="255" t="s">
        <v>233</v>
      </c>
      <c r="H69" s="260" t="str">
        <f>IF(AND(OR($B$4="W",$B$4="N"),OR(Table_2_Scotland!H12&gt;0,Table_2_Scotland!I12&gt;0,Table_2_Scotland!H20&gt;0,Table_2_Scotland!I20&gt;0)),"FAIL","PASS")</f>
        <v>PASS</v>
      </c>
      <c r="I69" s="256" t="str">
        <f>IF(AND(OR($B$4="W",$B$4="N"),OR(Table_2_Scotland!H12&gt;0,Table_2_Scotland!I12&gt;0,Table_2_Scotland!H20&gt;0,Table_2_Scotland!I20&gt;0)),"Head "&amp;Table_2_Scotland!A12&amp;", "&amp;Table_2_Scotland!A20&amp;" ("&amp;J69&amp;")","")</f>
        <v/>
      </c>
      <c r="J69" s="257" t="str">
        <f>Table_2_Scotland!H12&amp;", "&amp;Table_2_Scotland!I12&amp;", "&amp;Table_2_Scotland!H20&amp;", "&amp;Table_2_Scotland!I20</f>
        <v>139000, 139000, 216998, 240086</v>
      </c>
      <c r="K69" s="192">
        <f t="shared" si="2"/>
        <v>0</v>
      </c>
      <c r="L69" s="192">
        <f t="shared" si="3"/>
        <v>0</v>
      </c>
      <c r="M69" s="25"/>
      <c r="N69" s="25"/>
    </row>
    <row r="70" spans="1:14" customFormat="1" ht="30.5" customHeight="1" x14ac:dyDescent="0.35">
      <c r="A70" s="262" t="s">
        <v>325</v>
      </c>
      <c r="B70" s="671" t="s">
        <v>326</v>
      </c>
      <c r="C70" s="671"/>
      <c r="D70" s="671"/>
      <c r="E70" s="673" t="str">
        <f>Table_2_Scotland!$A$1&amp;" Head "&amp;Table_2_Scotland!A7&amp;", "&amp;Table_2_Scotland!A8&amp;", "&amp;Table_2_Scotland!A9&amp;", "&amp;Table_2_Scotland!A10&amp;", "&amp;Table_2_Scotland!A11&amp;", "&amp;Table_2_Scotland!A15&amp;", "&amp;Table_2_Scotland!A16&amp;", "&amp;Table_2_Scotland!A17&amp;", "&amp;Table_2_Scotland!A18&amp;", "&amp;Table_2_Scotland!A19</f>
        <v>Table 2_S: Head 1a, 1b, 1c, 1d, 1e, 2a, 2b, 2c, 2d, 2e</v>
      </c>
      <c r="F70" s="673"/>
      <c r="G70" s="255" t="s">
        <v>238</v>
      </c>
      <c r="H70" s="260" t="str">
        <f>IF(OR(AND(Table_2_Scotland!K7&gt;750,Table_2_Scotland!L7&gt;2),AND(Table_2_Scotland!K7&lt;-750,Table_2_Scotland!L7&gt;2),AND(Table_2_Scotland!K8&gt;750,Table_2_Scotland!L8&gt;2),AND(Table_2_Scotland!K8&lt;-750,Table_2_Scotland!L8&gt;2),AND(Table_2_Scotland!K9&gt;750,Table_2_Scotland!L9&gt;2),AND(Table_2_Scotland!K9&lt;-750,Table_2_Scotland!L9&gt;2),AND(Table_2_Scotland!K10&gt;750,Table_2_Scotland!L10&gt;2),AND(Table_2_Scotland!K10&lt;-750,Table_2_Scotland!L10&gt;2),AND(Table_2_Scotland!K11&gt;750,Table_2_Scotland!L11&gt;2),AND(Table_2_Scotland!K11&lt;-750,Table_2_Scotland!L11&gt;2),AND(Table_2_Scotland!K15&gt;750,Table_2_Scotland!L15&gt;2),AND(Table_2_Scotland!K15&lt;-750,Table_2_Scotland!L15&gt;2),AND(Table_2_Scotland!K16&gt;750,Table_2_Scotland!L16&gt;2),AND(Table_2_Scotland!K16&lt;-750,Table_2_Scotland!L16&gt;2),AND(Table_2_Scotland!K17&gt;750,Table_2_Scotland!L17&gt;2),AND(Table_2_Scotland!K17&lt;-750,Table_2_Scotland!L17&gt;2),AND(Table_2_Scotland!K18&gt;750,Table_2_Scotland!L18&gt;2),AND(Table_2_Scotland!K18&lt;-750,Table_2_Scotland!L18&gt;2),AND(Table_2_Scotland!K19&gt;750,Table_2_Scotland!L19&gt;2),AND(Table_2_Scotland!K19&lt;-750,Table_2_Scotland!L19&gt;2)),"FAIL","PASS")</f>
        <v>PASS</v>
      </c>
      <c r="I70" s="256" t="str">
        <f>IF(Table_2_Scotland!S1="FAIL",CONCATENATE(Table_2_Scotland!S5," ",Table_2_Scotland!S7,Table_2_Scotland!S8,Table_2_Scotland!S9,Table_2_Scotland!S10,Table_2_Scotland!S11,Table_2_Scotland!S15,Table_2_Scotland!S16,Table_2_Scotland!S17,Table_2_Scotland!S18,Table_2_Scotland!S19),"")</f>
        <v/>
      </c>
      <c r="J70" s="261" t="str">
        <f>Table_2_Scotland!H7&amp;", "&amp;Table_2_Scotland!H8&amp;", "&amp;Table_2_Scotland!H9&amp;", "&amp;Table_2_Scotland!H10&amp;", "&amp;Table_2_Scotland!H11&amp;", "&amp;Table_2_Scotland!H15&amp;", "&amp;Table_2_Scotland!H16&amp;", "&amp;Table_2_Scotland!H17&amp;", "&amp;Table_2_Scotland!H18&amp;", "&amp;Table_2_Scotland!H19</f>
        <v>0, 0, 0, 0, 139000, 0, 0, 0, 0, 216998</v>
      </c>
      <c r="K70" s="192">
        <f t="shared" si="2"/>
        <v>0</v>
      </c>
      <c r="L70" s="192">
        <f t="shared" si="3"/>
        <v>0</v>
      </c>
      <c r="M70" s="25"/>
      <c r="N70" s="25"/>
    </row>
    <row r="71" spans="1:14" customFormat="1" ht="30.5" customHeight="1" x14ac:dyDescent="0.35">
      <c r="A71" s="262" t="s">
        <v>327</v>
      </c>
      <c r="B71" s="671" t="s">
        <v>328</v>
      </c>
      <c r="C71" s="671"/>
      <c r="D71" s="671"/>
      <c r="E71" s="673" t="str">
        <f>Table_2_Scotland!$A$1&amp;" Head "&amp;Table_2_Scotland!A7&amp;", "&amp;Table_2_Scotland!A8&amp;", "&amp;Table_2_Scotland!A9&amp;", "&amp;Table_2_Scotland!A10&amp;", "&amp;Table_2_Scotland!A11&amp;", "&amp;Table_2_Scotland!A15&amp;", "&amp;Table_2_Scotland!A16&amp;", "&amp;Table_2_Scotland!A17&amp;", "&amp;Table_2_Scotland!A18&amp;", "&amp;Table_2_Scotland!A19</f>
        <v>Table 2_S: Head 1a, 1b, 1c, 1d, 1e, 2a, 2b, 2c, 2d, 2e</v>
      </c>
      <c r="F71" s="673"/>
      <c r="G71" s="255" t="s">
        <v>238</v>
      </c>
      <c r="H71" s="260" t="str">
        <f>IF(OR(AND(Table_2_Scotland!I7&lt;&gt;Table_2_Scotland!J7),AND(Table_2_Scotland!I8&lt;&gt;Table_2_Scotland!J8),AND(Table_2_Scotland!I9&lt;&gt;Table_2_Scotland!J9),AND(Table_2_Scotland!I10&lt;&gt;Table_2_Scotland!J10),AND(Table_2_Scotland!I11&lt;&gt;Table_2_Scotland!J11),AND(Table_2_Scotland!I15&lt;&gt;Table_2_Scotland!J15),AND(Table_2_Scotland!I16&lt;&gt;Table_2_Scotland!J16),AND(Table_2_Scotland!I17&lt;&gt;Table_2_Scotland!J17),AND(Table_2_Scotland!I18&lt;&gt;Table_2_Scotland!J18),AND(Table_2_Scotland!I19&lt;&gt;Table_2_Scotland!J19)),"FAIL","PASS")</f>
        <v>PASS</v>
      </c>
      <c r="I71" s="256" t="str">
        <f>IF(Table_2_Scotland!U1="FAIL",CONCATENATE(Table_2_Scotland!U5," ",Table_2_Scotland!U7,Table_2_Scotland!U8,Table_2_Scotland!U9,Table_2_Scotland!U10,Table_2_Scotland!U11,Table_2_Scotland!U15,Table_2_Scotland!U16,Table_2_Scotland!U17,Table_2_Scotland!U18,Table_2_Scotland!U19),"")</f>
        <v/>
      </c>
      <c r="J71" s="261" t="str">
        <f>Table_2_Scotland!I7&amp;", "&amp;Table_2_Scotland!I8&amp;", "&amp;Table_2_Scotland!I9&amp;", "&amp;Table_2_Scotland!I10&amp;", "&amp;Table_2_Scotland!I11&amp;", "&amp;Table_2_Scotland!I15&amp;", "&amp;Table_2_Scotland!I16&amp;", "&amp;Table_2_Scotland!I17&amp;", "&amp;Table_2_Scotland!I18&amp;", "&amp;Table_2_Scotland!I19</f>
        <v>0, 0, 0, 0, 139000, 0, 0, 0, 0, 240086</v>
      </c>
      <c r="K71" s="192">
        <f t="shared" si="2"/>
        <v>0</v>
      </c>
      <c r="L71" s="192">
        <f t="shared" si="3"/>
        <v>0</v>
      </c>
      <c r="M71" s="25"/>
      <c r="N71" s="25"/>
    </row>
    <row r="72" spans="1:14" customFormat="1" ht="30.5" customHeight="1" x14ac:dyDescent="0.35">
      <c r="A72" s="262" t="s">
        <v>329</v>
      </c>
      <c r="B72" s="671" t="s">
        <v>330</v>
      </c>
      <c r="C72" s="671"/>
      <c r="D72" s="671"/>
      <c r="E72" s="673" t="str">
        <f>Table_3_UK!$A$1&amp;" Head "&amp;Table_3_UK!A22</f>
        <v>Table 3: Head 2n</v>
      </c>
      <c r="F72" s="673"/>
      <c r="G72" s="255" t="s">
        <v>233</v>
      </c>
      <c r="H72" s="260" t="str">
        <f>IF(AND(SUM(Table_3_UK!H22:I22)&lt;&gt;0,ISBLANK(Table_3_UK!N22)),"FAIL","PASS")</f>
        <v>PASS</v>
      </c>
      <c r="I72" s="256" t="str">
        <f>IF(AND(SUM(Table_3_UK!H22:I22)&lt;&gt;0,ISBLANK(Table_3_UK!N22)),"Head "&amp;Table_3_UK!A22&amp;" ("&amp;J72&amp;")","")</f>
        <v/>
      </c>
      <c r="J72" s="257" t="str">
        <f>Table_3_UK!H22&amp;", "&amp;Table_3_UK!I22</f>
        <v>4051, 36</v>
      </c>
      <c r="K72" s="192">
        <f t="shared" si="2"/>
        <v>0</v>
      </c>
      <c r="L72" s="192">
        <f t="shared" si="3"/>
        <v>0</v>
      </c>
      <c r="M72" s="25"/>
      <c r="N72" s="25"/>
    </row>
    <row r="73" spans="1:14" customFormat="1" ht="30.5" customHeight="1" x14ac:dyDescent="0.35">
      <c r="A73" s="262" t="s">
        <v>331</v>
      </c>
      <c r="B73" s="671" t="s">
        <v>332</v>
      </c>
      <c r="C73" s="671"/>
      <c r="D73" s="671"/>
      <c r="E73" s="673" t="str">
        <f>Table_3_UK!$A$1&amp;" Head "&amp;Table_3_UK!A22</f>
        <v>Table 3: Head 2n</v>
      </c>
      <c r="F73" s="673"/>
      <c r="G73" s="255" t="s">
        <v>233</v>
      </c>
      <c r="H73" s="260" t="str">
        <f>IF(AND(SUM(Table_3_UK!H22:I22)=0,NOT(ISBLANK(Table_3_UK!N22))),"FAIL","PASS")</f>
        <v>PASS</v>
      </c>
      <c r="I73" s="256" t="str">
        <f>IF(AND(SUM(Table_3_UK!H22:I22)=0,NOT(ISBLANK(Table_3_UK!N22))),"Head "&amp;Table_3_UK!A22&amp;" ("&amp;J73&amp;")","")</f>
        <v/>
      </c>
      <c r="J73" s="257" t="str">
        <f>Table_3_UK!N22</f>
        <v>Impairment on fixed assets</v>
      </c>
      <c r="K73" s="192">
        <f t="shared" si="2"/>
        <v>0</v>
      </c>
      <c r="L73" s="192">
        <f t="shared" si="3"/>
        <v>0</v>
      </c>
      <c r="M73" s="25"/>
      <c r="N73" s="25"/>
    </row>
    <row r="74" spans="1:14" customFormat="1" ht="30.5" customHeight="1" x14ac:dyDescent="0.35">
      <c r="A74" s="262" t="s">
        <v>333</v>
      </c>
      <c r="B74" s="671" t="s">
        <v>334</v>
      </c>
      <c r="C74" s="671"/>
      <c r="D74" s="671"/>
      <c r="E74" s="673" t="str">
        <f>Table_3_UK!$A$1&amp;" Head "&amp;Table_3_UK!A29</f>
        <v>Table 3: Head 3e</v>
      </c>
      <c r="F74" s="673"/>
      <c r="G74" s="264" t="s">
        <v>238</v>
      </c>
      <c r="H74" s="260" t="str">
        <f>IF(Table_3_UK!H29&lt;&gt;0,"PASS","FAIL")</f>
        <v>PASS</v>
      </c>
      <c r="I74" s="256" t="str">
        <f>IF(Table_3_UK!H29&lt;&gt;0,"","Head "&amp;Table_3_UK!A29&amp;" ("&amp;J74&amp;")")</f>
        <v/>
      </c>
      <c r="J74" s="261">
        <f>Table_3_UK!H29</f>
        <v>-46108</v>
      </c>
      <c r="K74" s="192">
        <f t="shared" si="2"/>
        <v>0</v>
      </c>
      <c r="L74" s="192">
        <f t="shared" si="3"/>
        <v>0</v>
      </c>
      <c r="M74" s="25"/>
      <c r="N74" s="25"/>
    </row>
    <row r="75" spans="1:14" customFormat="1" ht="30.5" customHeight="1" x14ac:dyDescent="0.35">
      <c r="A75" s="262" t="s">
        <v>335</v>
      </c>
      <c r="B75" s="671" t="s">
        <v>336</v>
      </c>
      <c r="C75" s="671"/>
      <c r="D75" s="671"/>
      <c r="E75" s="673" t="str">
        <f>Table_3_UK!$A$1&amp;" Head "&amp;Table_3_UK!A29</f>
        <v>Table 3: Head 3e</v>
      </c>
      <c r="F75" s="673"/>
      <c r="G75" s="264" t="s">
        <v>238</v>
      </c>
      <c r="H75" s="260" t="str">
        <f>IF(Table_3_UK!I29&lt;&gt;0,"PASS","FAIL")</f>
        <v>PASS</v>
      </c>
      <c r="I75" s="256" t="str">
        <f>IF(Table_3_UK!I29&lt;&gt;0,"","Head "&amp;Table_3_UK!A29&amp;" ("&amp;J75&amp;")")</f>
        <v/>
      </c>
      <c r="J75" s="261">
        <f>Table_3_UK!I29</f>
        <v>-53757</v>
      </c>
      <c r="K75" s="192">
        <f t="shared" si="2"/>
        <v>0</v>
      </c>
      <c r="L75" s="192">
        <f t="shared" si="3"/>
        <v>0</v>
      </c>
      <c r="M75" s="25"/>
      <c r="N75" s="25"/>
    </row>
    <row r="76" spans="1:14" customFormat="1" ht="30.5" customHeight="1" x14ac:dyDescent="0.35">
      <c r="A76" s="262" t="s">
        <v>337</v>
      </c>
      <c r="B76" s="671" t="s">
        <v>338</v>
      </c>
      <c r="C76" s="671"/>
      <c r="D76" s="671"/>
      <c r="E76" s="673" t="str">
        <f>Table_3_UK!$A$1&amp;" Head "&amp;Table_3_UK!A41</f>
        <v>Table 3: Head 7c</v>
      </c>
      <c r="F76" s="673"/>
      <c r="G76" s="264" t="s">
        <v>238</v>
      </c>
      <c r="H76" s="260" t="str">
        <f>IF(Table_3_UK!H41&lt;&gt;0,"PASS","FAIL")</f>
        <v>PASS</v>
      </c>
      <c r="I76" s="256" t="str">
        <f>IF(Table_3_UK!H41&lt;&gt;0,"","Head "&amp;Table_3_UK!A41&amp;" ("&amp;J76&amp;")")</f>
        <v/>
      </c>
      <c r="J76" s="261">
        <f>Table_3_UK!H41</f>
        <v>46108</v>
      </c>
      <c r="K76" s="192">
        <f t="shared" si="2"/>
        <v>0</v>
      </c>
      <c r="L76" s="192">
        <f t="shared" si="3"/>
        <v>0</v>
      </c>
      <c r="M76" s="25"/>
      <c r="N76" s="25"/>
    </row>
    <row r="77" spans="1:14" customFormat="1" ht="30.5" customHeight="1" x14ac:dyDescent="0.35">
      <c r="A77" s="262" t="s">
        <v>339</v>
      </c>
      <c r="B77" s="671" t="s">
        <v>340</v>
      </c>
      <c r="C77" s="671"/>
      <c r="D77" s="671"/>
      <c r="E77" s="673" t="str">
        <f>Table_3_UK!$A$1&amp;" Head "&amp;Table_3_UK!A41</f>
        <v>Table 3: Head 7c</v>
      </c>
      <c r="F77" s="673"/>
      <c r="G77" s="264" t="s">
        <v>238</v>
      </c>
      <c r="H77" s="260" t="str">
        <f>IF(Table_3_UK!I41&lt;&gt;0,"PASS","FAIL")</f>
        <v>PASS</v>
      </c>
      <c r="I77" s="256" t="str">
        <f>IF(Table_3_UK!I41&lt;&gt;0,"","Head "&amp;Table_3_UK!A41&amp;" ("&amp;J77&amp;")")</f>
        <v/>
      </c>
      <c r="J77" s="261">
        <f>Table_3_UK!I41</f>
        <v>53757</v>
      </c>
      <c r="K77" s="192">
        <f t="shared" si="2"/>
        <v>0</v>
      </c>
      <c r="L77" s="192">
        <f t="shared" si="3"/>
        <v>0</v>
      </c>
      <c r="M77" s="25"/>
      <c r="N77" s="25"/>
    </row>
    <row r="78" spans="1:14" customFormat="1" ht="30.5" customHeight="1" x14ac:dyDescent="0.35">
      <c r="A78" s="262" t="s">
        <v>341</v>
      </c>
      <c r="B78" s="671" t="s">
        <v>342</v>
      </c>
      <c r="C78" s="671"/>
      <c r="D78" s="671"/>
      <c r="E78" s="673" t="str">
        <f>Table_2_UK!$A$1&amp;" Head "&amp;Table_2_UK!A22&amp;", "&amp;Table_2_UK!A29&amp;", "&amp;Table_3_UK!$A$1&amp;" Head "&amp;Table_3_UK!A71</f>
        <v>Table 2: Head 2d, 3a, Table 3: Head 12</v>
      </c>
      <c r="F78" s="673"/>
      <c r="G78" s="264" t="s">
        <v>233</v>
      </c>
      <c r="H78" s="260" t="str">
        <f>IF((ABS(Table_2_UK!H22-Table_2_UK!H29 - Table_3_UK!H71))&gt;5,"FAIL","PASS")</f>
        <v>PASS</v>
      </c>
      <c r="I78" s="256" t="str">
        <f>IF((ABS(Table_2_UK!H22-Table_2_UK!H29 - Table_3_UK!H71))&gt;5,Table_2_UK!$A$1&amp;" Head "&amp;Table_2_UK!A22&amp;", "&amp;Table_2_UK!A29&amp;" ("&amp;Table_2_UK!H22&amp;", "&amp;Table_2_UK!H29&amp;")"&amp;", "&amp;Table_3_UK!$A$1&amp;" Head "&amp;Table_3_UK!A71&amp;" ("&amp;Table_3_UK!H71&amp;")","")</f>
        <v/>
      </c>
      <c r="J78" s="261" t="str">
        <f>CONCATENATE(Table_2_UK!H22, ", ",Table_2_UK!H29,", ", Table_3_UK!H71)</f>
        <v>216998, 0, 216998</v>
      </c>
      <c r="K78" s="192">
        <f t="shared" si="2"/>
        <v>0</v>
      </c>
      <c r="L78" s="192">
        <f t="shared" si="3"/>
        <v>0</v>
      </c>
      <c r="M78" s="25"/>
      <c r="N78" s="25"/>
    </row>
    <row r="79" spans="1:14" customFormat="1" ht="30.5" customHeight="1" x14ac:dyDescent="0.35">
      <c r="A79" s="262" t="s">
        <v>343</v>
      </c>
      <c r="B79" s="671" t="s">
        <v>344</v>
      </c>
      <c r="C79" s="671"/>
      <c r="D79" s="671"/>
      <c r="E79" s="673" t="str">
        <f>Table_2_UK!$A$1&amp;" Head "&amp;Table_2_UK!A22&amp;", "&amp;Table_2_UK!A29&amp;", "&amp;Table_3_UK!$A$1&amp;" Head "&amp;Table_3_UK!A71</f>
        <v>Table 2: Head 2d, 3a, Table 3: Head 12</v>
      </c>
      <c r="F79" s="673"/>
      <c r="G79" s="264" t="s">
        <v>233</v>
      </c>
      <c r="H79" s="260" t="str">
        <f>IF((ABS(Table_2_UK!I22-Table_2_UK!I29 - Table_3_UK!I71))&gt;5,"FAIL","PASS")</f>
        <v>PASS</v>
      </c>
      <c r="I79" s="256" t="str">
        <f>IF((ABS(Table_2_UK!I22-Table_2_UK!I29 - Table_3_UK!I71))&gt;5,Table_2_UK!$A$1&amp;" Head "&amp;Table_2_UK!A22&amp;", "&amp;Table_2_UK!A29&amp;" ("&amp;Table_2_UK!I22&amp;", "&amp;Table_2_UK!I29&amp;")"&amp;", "&amp;Table_3_UK!$A$1&amp;" Head "&amp;Table_3_UK!A71&amp;" ("&amp;Table_3_UK!I71&amp;")","")</f>
        <v/>
      </c>
      <c r="J79" s="261" t="str">
        <f>CONCATENATE(Table_2_UK!I22, ", ",Table_2_UK!I29,", ", Table_3_UK!I71)</f>
        <v>240086, 0, 240087</v>
      </c>
      <c r="K79" s="192">
        <f t="shared" si="2"/>
        <v>0</v>
      </c>
      <c r="L79" s="192">
        <f t="shared" si="3"/>
        <v>0</v>
      </c>
      <c r="M79" s="25"/>
      <c r="N79" s="25"/>
    </row>
    <row r="80" spans="1:14" customFormat="1" ht="30.5" customHeight="1" x14ac:dyDescent="0.35">
      <c r="A80" s="262" t="s">
        <v>345</v>
      </c>
      <c r="B80" s="671" t="s">
        <v>346</v>
      </c>
      <c r="C80" s="671"/>
      <c r="D80" s="671"/>
      <c r="E80" s="673" t="str">
        <f>Table_3_UK!$A$1&amp;" Head "&amp;Table_3_UK!A45&amp;", "&amp;Table_3_UK!A46</f>
        <v>Table 3: Head 7g, 7h</v>
      </c>
      <c r="F80" s="673"/>
      <c r="G80" s="264" t="s">
        <v>238</v>
      </c>
      <c r="H80" s="260" t="str">
        <f>IF(Table_3_UK!H45&lt;Table_3_UK!H46,"PASS","FAIL")</f>
        <v>PASS</v>
      </c>
      <c r="I80" s="256" t="str">
        <f>IF(Table_3_UK!H45&lt;Table_3_UK!H46,"","Head "&amp;Table_3_UK!A45&amp;", "&amp;Table_3_UK!A46&amp;" ("&amp;J80&amp;")")</f>
        <v/>
      </c>
      <c r="J80" s="261" t="str">
        <f>Table_3_UK!H45&amp;", "&amp;Table_3_UK!H46</f>
        <v>-214479, -946</v>
      </c>
      <c r="K80" s="192">
        <f t="shared" si="2"/>
        <v>0</v>
      </c>
      <c r="L80" s="192">
        <f t="shared" si="3"/>
        <v>0</v>
      </c>
      <c r="M80" s="25"/>
      <c r="N80" s="25"/>
    </row>
    <row r="81" spans="1:14" customFormat="1" ht="30.5" customHeight="1" x14ac:dyDescent="0.35">
      <c r="A81" s="262" t="s">
        <v>347</v>
      </c>
      <c r="B81" s="671" t="s">
        <v>348</v>
      </c>
      <c r="C81" s="671"/>
      <c r="D81" s="671"/>
      <c r="E81" s="673" t="str">
        <f>Table_3_UK!$A$1&amp;" Head "&amp;Table_3_UK!A25&amp;", "&amp;Table_3_UK!A27</f>
        <v>Table 3: Head 3a, 3c</v>
      </c>
      <c r="F81" s="673"/>
      <c r="G81" s="264" t="s">
        <v>238</v>
      </c>
      <c r="H81" s="260" t="str">
        <f>IF(AND(Table_3_UK!I25&lt;=0,Table_3_UK!I27&lt;=0),"PASS","FAIL")</f>
        <v>PASS</v>
      </c>
      <c r="I81" s="256" t="str">
        <f>IF(AND(Table_3_UK!I25&lt;=0,Table_3_UK!I27&lt;=0),"","Head "&amp;Table_3_UK!A25&amp;", "&amp;Table_3_UK!A27&amp;" ("&amp;J81&amp;")")</f>
        <v/>
      </c>
      <c r="J81" s="261" t="str">
        <f>Table_3_UK!I25&amp;", "&amp;Table_3_UK!I27</f>
        <v>-64425, -5825</v>
      </c>
      <c r="K81" s="192">
        <f t="shared" si="2"/>
        <v>0</v>
      </c>
      <c r="L81" s="192">
        <f t="shared" si="3"/>
        <v>0</v>
      </c>
      <c r="M81" s="25"/>
      <c r="N81" s="25"/>
    </row>
    <row r="82" spans="1:14" customFormat="1" ht="30.5" customHeight="1" x14ac:dyDescent="0.35">
      <c r="A82" s="262" t="s">
        <v>349</v>
      </c>
      <c r="B82" s="671" t="s">
        <v>350</v>
      </c>
      <c r="C82" s="671"/>
      <c r="D82" s="671"/>
      <c r="E82" s="673" t="str">
        <f>Table_3_UK!$A$1&amp;" Head "&amp;Table_3_UK!A6&amp;", "&amp;Table_3_UK!A9&amp;", "&amp;Table_3_UK!A10&amp;", "&amp;Table_3_UK!A11&amp;", "&amp;Table_3_UK!A12&amp;", "&amp;Table_3_UK!A13&amp;", "&amp;Table_3_UK!A14&amp;", "&amp;Table_3_UK!A15&amp;", "&amp;Table_3_UK!A16&amp;", "&amp;Table_3_UK!A17&amp;", "&amp;Table_3_UK!A18&amp;", "&amp;Table_3_UK!A19&amp;", "&amp;Table_3_UK!A20&amp;", "&amp;Table_3_UK!A21&amp;", "&amp;Table_3_UK!A22&amp;", "&amp;Table_3_UK!A25&amp;", "&amp;Table_3_UK!A26&amp;", "&amp;Table_3_UK!A27&amp;", "&amp;Table_3_UK!A28&amp;", "&amp;Table_3_UK!A39&amp;", "&amp;Table_3_UK!A40&amp;", "&amp;Table_3_UK!A42&amp;", "&amp;Table_3_UK!A43&amp;", "&amp;Table_3_UK!A44&amp;", "&amp;Table_3_UK!A46&amp;", "&amp;Table_3_UK!A47&amp;", "&amp;Table_3_UK!A48&amp;", "&amp;Table_3_UK!A53&amp;", "&amp;Table_3_UK!A54&amp;", "&amp;Table_3_UK!A55&amp;", "&amp;Table_3_UK!A57&amp;", "&amp;Table_3_UK!A58&amp;", "&amp;Table_3_UK!A59&amp;", "&amp;Table_3_UK!A60&amp;", "&amp;Table_3_UK!A62&amp;", "&amp;Table_3_UK!A67</f>
        <v>Table 3: Head 1a, 2a, 2b, 2c, 2d, 2e, 2f, 2g, 2h, 2i, 2j, 2k, 2l, 2m, 2n, 3a, 3b, 3c, 3d, 7a, 7b, 7d, 7e, 7f, 7h, 7i, 7j, 8a, 8b, 8c, 8e, 8f, 8g, 8h, 8j, 10</v>
      </c>
      <c r="F82" s="673"/>
      <c r="G82" s="255" t="s">
        <v>238</v>
      </c>
      <c r="H82" s="260" t="str">
        <f>IF(OR(AND(Table_3_UK!I6&lt;&gt;Table_3_UK!J6),AND(Table_3_UK!I9&lt;&gt;Table_3_UK!J9),AND(Table_3_UK!I10&lt;&gt;Table_3_UK!J10),AND(Table_3_UK!I11&lt;&gt;Table_3_UK!J11),AND(Table_3_UK!I12&lt;&gt;Table_3_UK!J12),AND(Table_3_UK!I13&lt;&gt;Table_3_UK!J13),AND(Table_3_UK!I14&lt;&gt;Table_3_UK!J14),AND(Table_3_UK!I15&lt;&gt;Table_3_UK!J15),AND(Table_3_UK!I16&lt;&gt;Table_3_UK!J16),AND(Table_3_UK!I17&lt;&gt;Table_3_UK!J17),AND(Table_3_UK!I18&lt;&gt;Table_3_UK!J18),AND(Table_3_UK!I19&lt;&gt;Table_3_UK!J19),AND(Table_3_UK!I20&lt;&gt;Table_3_UK!J20),AND(Table_3_UK!I21&lt;&gt;Table_3_UK!J21),AND(Table_3_UK!I22&lt;&gt;Table_3_UK!J22),AND(Table_3_UK!I25&lt;&gt;Table_3_UK!J25),AND(Table_3_UK!I26&lt;&gt;Table_3_UK!J26),AND(Table_3_UK!I27&lt;&gt;Table_3_UK!J27),AND(Table_3_UK!I28&lt;&gt;Table_3_UK!J28),AND(Table_3_UK!I39&lt;&gt;Table_3_UK!J39),AND(Table_3_UK!I40&lt;&gt;Table_3_UK!J40),AND(Table_3_UK!I42&lt;&gt;Table_3_UK!J42),AND(Table_3_UK!I43&lt;&gt;Table_3_UK!J43),AND(Table_3_UK!I44&lt;&gt;Table_3_UK!J44),AND(Table_3_UK!I46&lt;&gt;Table_3_UK!J46),AND(Table_3_UK!I47&lt;&gt;Table_3_UK!J47),AND(Table_3_UK!I48&lt;&gt;Table_3_UK!J48),AND(Table_3_UK!I53&lt;&gt;Table_3_UK!J53),AND(Table_3_UK!I54&lt;&gt;Table_3_UK!J54),AND(Table_3_UK!I55&lt;&gt;Table_3_UK!J55),AND(Table_3_UK!I57&lt;&gt;Table_3_UK!J57),AND(Table_3_UK!I58&lt;&gt;Table_3_UK!J58),AND(Table_3_UK!I59&lt;&gt;Table_3_UK!J59),AND(Table_3_UK!I60&lt;&gt;Table_3_UK!J60),AND(Table_3_UK!I62&lt;&gt;Table_3_UK!J62),AND(Table_3_UK!I67&lt;&gt;Table_3_UK!J67)),"FAIL","PASS")</f>
        <v>PASS</v>
      </c>
      <c r="I82" s="256" t="str">
        <f>IF(Table_3_UK!U1="FAIL",CONCATENATE(Table_3_UK!U5," ",Table_3_UK!U6,Table_3_UK!U9,Table_3_UK!U10,Table_3_UK!U11,Table_3_UK!U12,Table_3_UK!U13,Table_3_UK!U14,Table_3_UK!U15,Table_3_UK!U16,Table_3_UK!U17,Table_3_UK!U18,Table_3_UK!U19,Table_3_UK!U20,Table_3_UK!U21,Table_3_UK!U22,Table_3_UK!U25,Table_3_UK!U26,Table_3_UK!U27,Table_3_UK!U28,Table_3_UK!U39,Table_3_UK!U40,Table_3_UK!U42,Table_3_UK!U43,Table_3_UK!U44,Table_3_UK!U46,Table_3_UK!U47,Table_3_UK!U48,Table_3_UK!U53,Table_3_UK!U54,Table_3_UK!U55,Table_3_UK!U57,Table_3_UK!U58,Table_3_UK!U59,Table_3_UK!U60,Table_3_UK!U62,Table_3_UK!U67),"")</f>
        <v/>
      </c>
      <c r="J82" s="261" t="str">
        <f>Table_3_UK!I6&amp;", "&amp;Table_3_UK!I9&amp;", "&amp;Table_3_UK!I10&amp;", "&amp;Table_3_UK!I11&amp;", "&amp;Table_3_UK!I12&amp;", "&amp;Table_3_UK!I13&amp;", "&amp;Table_3_UK!I14&amp;", "&amp;Table_3_UK!I15&amp;", "&amp;Table_3_UK!I16&amp;", "&amp;Table_3_UK!I17&amp;", "&amp;Table_3_UK!I18&amp;", "&amp;Table_3_UK!I19&amp;", "&amp;Table_3_UK!I20&amp;", "&amp;Table_3_UK!I21&amp;", "&amp;Table_3_UK!I22&amp;", "&amp;Table_3_UK!I25&amp;", "&amp;Table_3_UK!I26&amp;", "&amp;Table_3_UK!I27&amp;", "&amp;Table_3_UK!I28&amp;", "&amp;Table_3_UK!I39&amp;", "&amp;Table_3_UK!I40&amp;", "&amp;Table_3_UK!I42&amp;", "&amp;Table_3_UK!I43&amp;", "&amp;Table_3_UK!I44&amp;", "&amp;Table_3_UK!I46&amp;", "&amp;Table_3_UK!I47&amp;", "&amp;Table_3_UK!I48&amp;", "&amp;Table_3_UK!I53&amp;", "&amp;Table_3_UK!I54&amp;", "&amp;Table_3_UK!I55&amp;", "&amp;Table_3_UK!I57&amp;", "&amp;Table_3_UK!I58&amp;", "&amp;Table_3_UK!I59&amp;", "&amp;Table_3_UK!I60&amp;", "&amp;Table_3_UK!I62&amp;", "&amp;Table_3_UK!I67</f>
        <v>406640, 87800, 3200, 0, 0, -29036, 106, -51874, 26096, -359400, 0, 0, 0, 0, 36, -64425, 21602, -5825, 26, 674, 0, 122900, 0, 64315, -1087, -386685, 150300, -14302, 0, 6225, 13300, 0, -11338, 0, 0, 455700</v>
      </c>
      <c r="K82" s="192">
        <f t="shared" si="2"/>
        <v>0</v>
      </c>
      <c r="L82" s="192">
        <f t="shared" si="3"/>
        <v>0</v>
      </c>
      <c r="M82" s="25"/>
      <c r="N82" s="25"/>
    </row>
    <row r="83" spans="1:14" customFormat="1" ht="30.5" customHeight="1" x14ac:dyDescent="0.35">
      <c r="A83" s="265" t="s">
        <v>351</v>
      </c>
      <c r="B83" s="671" t="s">
        <v>352</v>
      </c>
      <c r="C83" s="671"/>
      <c r="D83" s="671"/>
      <c r="E83" s="673" t="str">
        <f>Table_4_UK!$A$1&amp;" Head "&amp;Table_4_UK!A61&amp;" ("&amp;Table_4_UK!AE3&amp;")"&amp;", "&amp;Table_7_UK!$A$1&amp;" Head "&amp;Table_7_UK!A99&amp;" ("&amp;Table_7_UK!O3&amp;")"</f>
        <v>Table 4: Head 4 (Total), Table 7: Head 6n (Total expenditure)</v>
      </c>
      <c r="F83" s="673"/>
      <c r="G83" s="255" t="s">
        <v>238</v>
      </c>
      <c r="H83" s="255" t="str">
        <f>IF(AND(OR(Table_4_UK!AE61=0,Table_7_UK!O99&lt;&gt;0),OR(Table_7_UK!O99=0,Table_4_UK!AE61&lt;&gt;0)),"PASS","FAIL")</f>
        <v>PASS</v>
      </c>
      <c r="I83" s="256" t="str">
        <f>IF(AND(OR(Table_4_UK!AE61=0,Table_7_UK!O99&lt;&gt;0),OR(Table_7_UK!O99=0,Table_4_UK!AE61&lt;&gt;0)),"",Table_4_UK!$A$1&amp;" Head "&amp;Table_4_UK!A61&amp;" ("&amp;Table_4_UK!AE61&amp;")"&amp;", "&amp;Table_7_UK!$A$1&amp;" Head "&amp;Table_7_UK!A99&amp;" ("&amp;Table_7_UK!O99&amp;")")</f>
        <v/>
      </c>
      <c r="J83" s="257" t="str">
        <f>Table_4_UK!AE61&amp;", "&amp;Table_7_UK!O99</f>
        <v>375372, 290945</v>
      </c>
      <c r="K83" s="192">
        <f t="shared" si="2"/>
        <v>0</v>
      </c>
      <c r="L83" s="192">
        <f t="shared" si="3"/>
        <v>0</v>
      </c>
      <c r="M83" s="25"/>
      <c r="N83" s="25"/>
    </row>
    <row r="84" spans="1:14" customFormat="1" ht="30.5" customHeight="1" x14ac:dyDescent="0.35">
      <c r="A84" s="265" t="s">
        <v>353</v>
      </c>
      <c r="B84" s="671" t="s">
        <v>354</v>
      </c>
      <c r="C84" s="671"/>
      <c r="D84" s="671"/>
      <c r="E84" s="673" t="str">
        <f>Table_4_UK!$A$1&amp;" Head "&amp;Table_4_UK!A61&amp;" ("&amp;Table_4_UK!Q3&amp;")"&amp;", "&amp;Table_7_UK!$A$1&amp;" Head "&amp;Table_7_UK!A76&amp;" "&amp;Table_7_UK!A86&amp;" ("&amp;Table_7_UK!O3&amp;")"</f>
        <v>Table 4: Head 4 (Total Research Councils), Table 7: Head 6a x (Total expenditure)</v>
      </c>
      <c r="F84" s="673"/>
      <c r="G84" s="264" t="s">
        <v>238</v>
      </c>
      <c r="H84" s="264" t="str">
        <f>IF(AND(OR(Table_4_UK!Q61=0,Table_7_UK!O86&lt;&gt;0),OR(Table_7_UK!O86=0,Table_4_UK!Q61&lt;&gt;0)),"PASS","FAIL")</f>
        <v>PASS</v>
      </c>
      <c r="I84" s="139" t="str">
        <f>IF(AND(OR(Table_4_UK!Q61=0,Table_7_UK!O86&lt;&gt;0),OR(Table_7_UK!O86=0,Table_4_UK!Q61&lt;&gt;0)),"",Table_4_UK!$A$1&amp;" Head "&amp;Table_4_UK!A61&amp;" ("&amp;Table_4_UK!Q61&amp;")"&amp;", "&amp;Table_7_UK!$A$1&amp;" Head "&amp;Table_7_UK!A76&amp;" "&amp;Table_7_UK!A86&amp;" ("&amp;Table_7_UK!O86&amp;")")</f>
        <v/>
      </c>
      <c r="J84" s="266" t="str">
        <f>Table_4_UK!Q61&amp;", "&amp;Table_7_UK!O86</f>
        <v>179847, 124771</v>
      </c>
      <c r="K84" s="192">
        <f t="shared" si="2"/>
        <v>0</v>
      </c>
      <c r="L84" s="192">
        <f t="shared" si="3"/>
        <v>0</v>
      </c>
      <c r="M84" s="25"/>
      <c r="N84" s="25"/>
    </row>
    <row r="85" spans="1:14" customFormat="1" ht="30.5" customHeight="1" x14ac:dyDescent="0.35">
      <c r="A85" s="265" t="s">
        <v>355</v>
      </c>
      <c r="B85" s="671" t="s">
        <v>356</v>
      </c>
      <c r="C85" s="671"/>
      <c r="D85" s="671"/>
      <c r="E85" s="673" t="str">
        <f>Table_4_UK!$A$1&amp;" Head "&amp;Table_4_UK!A61&amp;" ("&amp;Table_4_UK!R3&amp;")"&amp;", "&amp;Table_7_UK!$A$1&amp;" Head "&amp;Table_7_UK!A87&amp;" ("&amp;Table_7_UK!O3&amp;")"</f>
        <v>Table 4: Head 4 (UK-based charities (open competitive process)), Table 7: Head 6b (Total expenditure)</v>
      </c>
      <c r="F85" s="673"/>
      <c r="G85" s="264" t="s">
        <v>238</v>
      </c>
      <c r="H85" s="264" t="str">
        <f>IF(AND(OR(Table_4_UK!R61=0,Table_7_UK!O87&lt;&gt;0),OR(Table_7_UK!O87=0,Table_4_UK!R61&lt;&gt;0)),"PASS","FAIL")</f>
        <v>PASS</v>
      </c>
      <c r="I85" s="139" t="str">
        <f>IF(AND(OR(Table_4_UK!R61=0,Table_7_UK!O87&lt;&gt;0),OR(Table_7_UK!O87=0,Table_4_UK!R61&lt;&gt;0)),"",Table_4_UK!$A$1&amp;" Head "&amp;Table_4_UK!A61&amp;" ("&amp;Table_4_UK!R61&amp;")"&amp;", "&amp;Table_7_UK!$A$1&amp;" Head "&amp;Table_7_UK!A87&amp;" ("&amp;Table_7_UK!O87&amp;")")</f>
        <v/>
      </c>
      <c r="J85" s="266" t="str">
        <f>Table_4_UK!R61&amp;", "&amp;Table_7_UK!O87</f>
        <v>83422, 76663</v>
      </c>
      <c r="K85" s="192">
        <f t="shared" si="2"/>
        <v>0</v>
      </c>
      <c r="L85" s="192">
        <f t="shared" si="3"/>
        <v>0</v>
      </c>
      <c r="M85" s="25"/>
      <c r="N85" s="25"/>
    </row>
    <row r="86" spans="1:14" customFormat="1" ht="30.5" customHeight="1" x14ac:dyDescent="0.35">
      <c r="A86" s="265" t="s">
        <v>357</v>
      </c>
      <c r="B86" s="671" t="s">
        <v>358</v>
      </c>
      <c r="C86" s="671"/>
      <c r="D86" s="671"/>
      <c r="E86" s="673" t="str">
        <f>Table_4_UK!$A$1&amp;" Head "&amp;Table_4_UK!A61&amp;" ("&amp;Table_4_UK!S3&amp;")"&amp;", "&amp;Table_7_UK!$A$1&amp;" Head "&amp;Table_7_UK!A88&amp;" ("&amp;Table_7_UK!O3&amp;")"</f>
        <v>Table 4: Head 4 (UK-based charities (other)), Table 7: Head 6c (Total expenditure)</v>
      </c>
      <c r="F86" s="673"/>
      <c r="G86" s="264" t="s">
        <v>238</v>
      </c>
      <c r="H86" s="264" t="str">
        <f>IF(AND(OR(Table_4_UK!S61=0,Table_7_UK!O88&lt;&gt;0),OR(Table_7_UK!O88=0,Table_4_UK!S61&lt;&gt;0)),"PASS","FAIL")</f>
        <v>PASS</v>
      </c>
      <c r="I86" s="139" t="str">
        <f>IF(AND(OR(Table_4_UK!S61=0,Table_7_UK!O88&lt;&gt;0),OR(Table_7_UK!O88=0,Table_4_UK!S61&lt;&gt;0)),"",Table_4_UK!$A$1&amp;" Head "&amp;Table_4_UK!A61&amp;" ("&amp;Table_4_UK!S61&amp;")"&amp;", "&amp;Table_7_UK!$A$1&amp;" Head "&amp;Table_7_UK!A88&amp;" ("&amp;Table_7_UK!O88&amp;")")</f>
        <v/>
      </c>
      <c r="J86" s="266" t="str">
        <f>Table_4_UK!S61&amp;", "&amp;Table_7_UK!O88</f>
        <v>1177, 3910</v>
      </c>
      <c r="K86" s="192">
        <f t="shared" si="2"/>
        <v>0</v>
      </c>
      <c r="L86" s="192">
        <f t="shared" si="3"/>
        <v>0</v>
      </c>
      <c r="M86" s="25"/>
      <c r="N86" s="25"/>
    </row>
    <row r="87" spans="1:14" customFormat="1" ht="30.5" customHeight="1" x14ac:dyDescent="0.35">
      <c r="A87" s="265" t="s">
        <v>359</v>
      </c>
      <c r="B87" s="671" t="s">
        <v>360</v>
      </c>
      <c r="C87" s="671"/>
      <c r="D87" s="671"/>
      <c r="E87" s="673" t="str">
        <f>Table_4_UK!$A$1&amp;" Head "&amp;Table_4_UK!A61&amp;" ("&amp;Table_4_UK!T3&amp;")"&amp;", "&amp;Table_7_UK!$A$1&amp;" Head "&amp;Table_7_UK!A89&amp;" ("&amp;Table_7_UK!O3&amp;")"</f>
        <v>Table 4: Head 4 (UK central government bodies/local authorities, health and hospital authorities), Table 7: Head 6d (Total expenditure)</v>
      </c>
      <c r="F87" s="673"/>
      <c r="G87" s="264" t="s">
        <v>238</v>
      </c>
      <c r="H87" s="264" t="str">
        <f>IF(AND(OR(Table_4_UK!T61=0,Table_7_UK!O89&lt;&gt;0),OR(Table_7_UK!O89=0,Table_4_UK!T61&lt;&gt;0)),"PASS","FAIL")</f>
        <v>PASS</v>
      </c>
      <c r="I87" s="139" t="str">
        <f>IF(AND(OR(Table_4_UK!T61=0,Table_7_UK!O89&lt;&gt;0),OR(Table_7_UK!O89=0,Table_4_UK!T61&lt;&gt;0)),"",Table_4_UK!$A$1&amp;" Head "&amp;Table_4_UK!A61&amp;" ("&amp;Table_4_UK!T61&amp;")"&amp;", "&amp;Table_7_UK!$A$1&amp;" Head "&amp;Table_7_UK!A89&amp;" ("&amp;Table_7_UK!O89&amp;")")</f>
        <v/>
      </c>
      <c r="J87" s="266" t="str">
        <f>Table_4_UK!T61&amp;", "&amp;Table_7_UK!O89</f>
        <v>44249, 27253</v>
      </c>
      <c r="K87" s="192">
        <f t="shared" si="2"/>
        <v>0</v>
      </c>
      <c r="L87" s="192">
        <f t="shared" si="3"/>
        <v>0</v>
      </c>
      <c r="M87" s="25"/>
      <c r="N87" s="25"/>
    </row>
    <row r="88" spans="1:14" customFormat="1" ht="30.5" customHeight="1" x14ac:dyDescent="0.35">
      <c r="A88" s="265" t="s">
        <v>361</v>
      </c>
      <c r="B88" s="671" t="s">
        <v>362</v>
      </c>
      <c r="C88" s="671"/>
      <c r="D88" s="671"/>
      <c r="E88" s="673" t="str">
        <f>Table_4_UK!$A$1&amp;" Head "&amp;Table_4_UK!A61&amp;" ("&amp;Table_4_UK!V3&amp;")"&amp;", "&amp;Table_7_UK!$A$1&amp;" Head "&amp;Table_7_UK!A90&amp;" ("&amp;Table_7_UK!O3&amp;")"</f>
        <v>Table 4: Head 4 (UK industry, commerce and public corporations), Table 7: Head 6e (Total expenditure)</v>
      </c>
      <c r="F88" s="673"/>
      <c r="G88" s="264" t="s">
        <v>238</v>
      </c>
      <c r="H88" s="264" t="str">
        <f>IF(AND(OR(Table_4_UK!V61=0,Table_7_UK!O90&lt;&gt;0),OR(Table_7_UK!O90=0,Table_4_UK!V61&lt;&gt;0)),"PASS","FAIL")</f>
        <v>PASS</v>
      </c>
      <c r="I88" s="139" t="str">
        <f>IF(AND(OR(Table_4_UK!V61=0,Table_7_UK!O90&lt;&gt;0),OR(Table_7_UK!O90=0,Table_4_UK!V61&lt;&gt;0)),"",Table_4_UK!$A$1&amp;" Head "&amp;Table_4_UK!A61&amp;" ("&amp;Table_4_UK!V61&amp;")"&amp;", "&amp;Table_7_UK!$A$1&amp;" Head "&amp;Table_7_UK!A90&amp;" ("&amp;Table_7_UK!O90&amp;")")</f>
        <v/>
      </c>
      <c r="J88" s="266" t="str">
        <f>Table_4_UK!V61&amp;", "&amp;Table_7_UK!O90</f>
        <v>15677, 10256</v>
      </c>
      <c r="K88" s="192">
        <f t="shared" ref="K88:K119" si="4">IF(AND(G88="Error",H88="FAIL"),1,0)</f>
        <v>0</v>
      </c>
      <c r="L88" s="192">
        <f t="shared" ref="L88:L119" si="5">IF(AND(G88="Warning",H88="FAIL"),1,0)</f>
        <v>0</v>
      </c>
      <c r="M88" s="25"/>
      <c r="N88" s="25"/>
    </row>
    <row r="89" spans="1:14" customFormat="1" ht="30.5" customHeight="1" x14ac:dyDescent="0.35">
      <c r="A89" s="265" t="s">
        <v>363</v>
      </c>
      <c r="B89" s="671" t="s">
        <v>364</v>
      </c>
      <c r="C89" s="671"/>
      <c r="D89" s="671"/>
      <c r="E89" s="673" t="str">
        <f>Table_4_UK!$A$1&amp;" Head "&amp;Table_4_UK!A61&amp;" ("&amp;Table_4_UK!W3&amp;")"&amp;", "&amp;Table_7_UK!$A$1&amp;" Head "&amp;Table_7_UK!A91&amp;" ("&amp;Table_7_UK!O3&amp;")"</f>
        <v>Table 4: Head 4 (UK other sources), Table 7: Head 6f (Total expenditure)</v>
      </c>
      <c r="F89" s="673"/>
      <c r="G89" s="264" t="s">
        <v>238</v>
      </c>
      <c r="H89" s="264" t="str">
        <f>IF(AND(OR(Table_4_UK!W61=0,Table_7_UK!O91&lt;&gt;0),OR(Table_7_UK!O91=0,Table_4_UK!W61&lt;&gt;0)),"PASS","FAIL")</f>
        <v>PASS</v>
      </c>
      <c r="I89" s="139" t="str">
        <f>IF(AND(OR(Table_4_UK!W61=0,Table_7_UK!O91&lt;&gt;0),OR(Table_7_UK!O91=0,Table_4_UK!W61&lt;&gt;0)),"",Table_4_UK!$A$1&amp;" Head "&amp;Table_4_UK!A61&amp;" ("&amp;Table_4_UK!W61&amp;")"&amp;", "&amp;Table_7_UK!$A$1&amp;" Head "&amp;Table_7_UK!A91&amp;" ("&amp;Table_7_UK!O91&amp;")")</f>
        <v/>
      </c>
      <c r="J89" s="266" t="str">
        <f>Table_4_UK!W61&amp;", "&amp;Table_7_UK!O91</f>
        <v>-1686, 1087</v>
      </c>
      <c r="K89" s="192">
        <f t="shared" si="4"/>
        <v>0</v>
      </c>
      <c r="L89" s="192">
        <f t="shared" si="5"/>
        <v>0</v>
      </c>
      <c r="M89" s="25"/>
      <c r="N89" s="25"/>
    </row>
    <row r="90" spans="1:14" customFormat="1" ht="30.5" customHeight="1" x14ac:dyDescent="0.35">
      <c r="A90" s="265" t="s">
        <v>365</v>
      </c>
      <c r="B90" s="671" t="s">
        <v>366</v>
      </c>
      <c r="C90" s="671"/>
      <c r="D90" s="671"/>
      <c r="E90" s="673" t="str">
        <f>Table_4_UK!$A$1&amp;" Head "&amp;Table_4_UK!A61&amp;" ("&amp;Table_4_UK!X3&amp;")"&amp;", "&amp;Table_7_UK!$A$1&amp;" Head "&amp;Table_7_UK!A92&amp;" ("&amp;Table_7_UK!O3&amp;")"</f>
        <v>Table 4: Head 4 (EU government bodies), Table 7: Head 6g (Total expenditure)</v>
      </c>
      <c r="F90" s="673"/>
      <c r="G90" s="264" t="s">
        <v>238</v>
      </c>
      <c r="H90" s="264" t="str">
        <f>IF(AND(OR(Table_4_UK!X61=0,Table_7_UK!O92&lt;&gt;0),OR(Table_7_UK!O92=0,Table_4_UK!X61&lt;&gt;0)),"PASS","FAIL")</f>
        <v>PASS</v>
      </c>
      <c r="I90" s="139" t="str">
        <f>IF(AND(OR(Table_4_UK!X61=0,Table_7_UK!O92&lt;&gt;0),OR(Table_7_UK!O92=0,Table_4_UK!X61&lt;&gt;0)),"",Table_4_UK!$A$1&amp;" Head "&amp;Table_4_UK!A61&amp;" ("&amp;Table_4_UK!X61&amp;")"&amp;", "&amp;Table_7_UK!$A$1&amp;" Head "&amp;Table_7_UK!A92&amp;" ("&amp;Table_7_UK!O92&amp;")")</f>
        <v/>
      </c>
      <c r="J90" s="266" t="str">
        <f>Table_4_UK!X61&amp;", "&amp;Table_7_UK!O92</f>
        <v>7059, 8332</v>
      </c>
      <c r="K90" s="192">
        <f t="shared" si="4"/>
        <v>0</v>
      </c>
      <c r="L90" s="192">
        <f t="shared" si="5"/>
        <v>0</v>
      </c>
      <c r="M90" s="25"/>
      <c r="N90" s="25"/>
    </row>
    <row r="91" spans="1:14" customFormat="1" ht="30.5" customHeight="1" x14ac:dyDescent="0.35">
      <c r="A91" s="265" t="s">
        <v>367</v>
      </c>
      <c r="B91" s="671" t="s">
        <v>368</v>
      </c>
      <c r="C91" s="671"/>
      <c r="D91" s="671"/>
      <c r="E91" s="673" t="str">
        <f>Table_4_UK!$A$1&amp;" Head "&amp;Table_4_UK!A61&amp;" ("&amp;Table_4_UK!Y3&amp;")"&amp;", "&amp;Table_7_UK!$A$1&amp;" Head "&amp;Table_7_UK!A93&amp;" ("&amp;Table_7_UK!O3&amp;")"</f>
        <v>Table 4: Head 4 (EU-based charities (open competitive process)), Table 7: Head 6h (Total expenditure)</v>
      </c>
      <c r="F91" s="673"/>
      <c r="G91" s="264" t="s">
        <v>238</v>
      </c>
      <c r="H91" s="264" t="str">
        <f>IF(AND(OR(Table_4_UK!Y61=0,Table_7_UK!O93&lt;&gt;0),OR(Table_7_UK!O93=0,Table_4_UK!Y61&lt;&gt;0)),"PASS","FAIL")</f>
        <v>PASS</v>
      </c>
      <c r="I91" s="139" t="str">
        <f>IF(AND(OR(Table_4_UK!Y61=0,Table_7_UK!O93&lt;&gt;0),OR(Table_7_UK!O93=0,Table_4_UK!Y61&lt;&gt;0)),"",Table_4_UK!$A$1&amp;" Head "&amp;Table_4_UK!A61&amp;" ("&amp;Table_4_UK!Y61&amp;")"&amp;", "&amp;Table_7_UK!$A$1&amp;" Head "&amp;Table_7_UK!A93&amp;" ("&amp;Table_7_UK!O93&amp;")")</f>
        <v/>
      </c>
      <c r="J91" s="266" t="str">
        <f>Table_4_UK!Y61&amp;", "&amp;Table_7_UK!O93</f>
        <v>3588, 7279</v>
      </c>
      <c r="K91" s="192">
        <f t="shared" si="4"/>
        <v>0</v>
      </c>
      <c r="L91" s="192">
        <f t="shared" si="5"/>
        <v>0</v>
      </c>
      <c r="M91" s="25"/>
      <c r="N91" s="25"/>
    </row>
    <row r="92" spans="1:14" customFormat="1" ht="30.5" customHeight="1" x14ac:dyDescent="0.35">
      <c r="A92" s="265" t="s">
        <v>369</v>
      </c>
      <c r="B92" s="671" t="s">
        <v>370</v>
      </c>
      <c r="C92" s="671"/>
      <c r="D92" s="671"/>
      <c r="E92" s="673" t="str">
        <f>Table_4_UK!$A$1&amp;" Head "&amp;Table_4_UK!A61&amp;" ("&amp;Table_4_UK!Z3&amp;")"&amp;", "&amp;Table_7_UK!$A$1&amp;" Head "&amp;Table_7_UK!A94&amp;" ("&amp;Table_7_UK!O3&amp;")"</f>
        <v>Table 4: Head 4 (EU industry, commerce and public corporations), Table 7: Head 6i (Total expenditure)</v>
      </c>
      <c r="F92" s="673"/>
      <c r="G92" s="264" t="s">
        <v>238</v>
      </c>
      <c r="H92" s="264" t="str">
        <f>IF(AND(OR(Table_4_UK!Z61=0,Table_7_UK!O94&lt;&gt;0),OR(Table_7_UK!O94=0,Table_4_UK!Z61&lt;&gt;0)),"PASS","FAIL")</f>
        <v>PASS</v>
      </c>
      <c r="I92" s="139" t="str">
        <f>IF(AND(OR(Table_4_UK!Z61=0,Table_7_UK!O94&lt;&gt;0),OR(Table_7_UK!O94=0,Table_4_UK!Z61&lt;&gt;0)),"",Table_4_UK!$A$1&amp;" Head "&amp;Table_4_UK!A61&amp;" ("&amp;Table_4_UK!Z61&amp;")"&amp;", "&amp;Table_7_UK!$A$1&amp;" Head "&amp;Table_7_UK!A94&amp;" ("&amp;Table_7_UK!O94&amp;")")</f>
        <v/>
      </c>
      <c r="J92" s="266" t="str">
        <f>Table_4_UK!Z61&amp;", "&amp;Table_7_UK!O94</f>
        <v>3990, 2714</v>
      </c>
      <c r="K92" s="192">
        <f t="shared" si="4"/>
        <v>0</v>
      </c>
      <c r="L92" s="192">
        <f t="shared" si="5"/>
        <v>0</v>
      </c>
      <c r="M92" s="25"/>
      <c r="N92" s="25"/>
    </row>
    <row r="93" spans="1:14" customFormat="1" ht="30.5" customHeight="1" x14ac:dyDescent="0.35">
      <c r="A93" s="265" t="s">
        <v>371</v>
      </c>
      <c r="B93" s="671" t="s">
        <v>372</v>
      </c>
      <c r="C93" s="671"/>
      <c r="D93" s="671"/>
      <c r="E93" s="673" t="str">
        <f>Table_4_UK!$A$1&amp;" Head "&amp;Table_4_UK!A61&amp;" ("&amp;Table_4_UK!AA3&amp;")"&amp;", "&amp;Table_7_UK!$A$1&amp;" Head "&amp;Table_7_UK!A95&amp;" ("&amp;Table_7_UK!O3&amp;")"</f>
        <v>Table 4: Head 4 (EU other), Table 7: Head 6j (Total expenditure)</v>
      </c>
      <c r="F93" s="673"/>
      <c r="G93" s="264" t="s">
        <v>238</v>
      </c>
      <c r="H93" s="264" t="str">
        <f>IF(AND(OR(Table_4_UK!AA61=0,Table_7_UK!O95&lt;&gt;0),OR(Table_7_UK!O95=0,Table_4_UK!AA61&lt;&gt;0)),"PASS","FAIL")</f>
        <v>PASS</v>
      </c>
      <c r="I93" s="139" t="str">
        <f>IF(AND(OR(Table_4_UK!AA61=0,Table_7_UK!O95&lt;&gt;0),OR(Table_7_UK!O95=0,Table_4_UK!AA61&lt;&gt;0)),"",Table_4_UK!$A$1&amp;" Head "&amp;Table_4_UK!A61&amp;" ("&amp;Table_4_UK!AA61&amp;")"&amp;", "&amp;Table_7_UK!$A$1&amp;" Head "&amp;Table_7_UK!A95&amp;" ("&amp;Table_7_UK!O95&amp;")")</f>
        <v/>
      </c>
      <c r="J93" s="266" t="str">
        <f>Table_4_UK!AA61&amp;", "&amp;Table_7_UK!O95</f>
        <v>1990, 1989</v>
      </c>
      <c r="K93" s="192">
        <f t="shared" si="4"/>
        <v>0</v>
      </c>
      <c r="L93" s="192">
        <f t="shared" si="5"/>
        <v>0</v>
      </c>
      <c r="M93" s="25"/>
      <c r="N93" s="25"/>
    </row>
    <row r="94" spans="1:14" customFormat="1" ht="30.5" customHeight="1" x14ac:dyDescent="0.35">
      <c r="A94" s="265" t="s">
        <v>373</v>
      </c>
      <c r="B94" s="671" t="s">
        <v>374</v>
      </c>
      <c r="C94" s="671"/>
      <c r="D94" s="671"/>
      <c r="E94" s="673" t="str">
        <f>Table_4_UK!$A$1&amp;" Head "&amp;Table_4_UK!A61&amp;" ("&amp;Table_4_UK!AB3&amp;")"&amp;", "&amp;Table_7_UK!$A$1&amp;" Head "&amp;Table_7_UK!A96&amp;" ("&amp;Table_7_UK!O3&amp;")"</f>
        <v>Table 4: Head 4 (Non-EU (non-UK) - based charities (open competitive process)), Table 7: Head 6k (Total expenditure)</v>
      </c>
      <c r="F94" s="673"/>
      <c r="G94" s="264" t="s">
        <v>238</v>
      </c>
      <c r="H94" s="264" t="str">
        <f>IF(AND(OR(Table_4_UK!AB61=0,Table_7_UK!O96&lt;&gt;0),OR(Table_7_UK!O96=0,Table_4_UK!AB61&lt;&gt;0)),"PASS","FAIL")</f>
        <v>PASS</v>
      </c>
      <c r="I94" s="139" t="str">
        <f>IF(AND(OR(Table_4_UK!AB61=0,Table_7_UK!O96&lt;&gt;0),OR(Table_7_UK!O96=0,Table_4_UK!AB61&lt;&gt;0)),"",Table_4_UK!$A$1&amp;" Head "&amp;Table_4_UK!A61&amp;" ("&amp;Table_4_UK!AB61&amp;")"&amp;", "&amp;Table_7_UK!$A$1&amp;" Head "&amp;Table_7_UK!A96&amp;" ("&amp;Table_7_UK!O96&amp;")")</f>
        <v/>
      </c>
      <c r="J94" s="266" t="str">
        <f>Table_4_UK!AB61&amp;", "&amp;Table_7_UK!O96</f>
        <v>13541, 9917</v>
      </c>
      <c r="K94" s="192">
        <f t="shared" si="4"/>
        <v>0</v>
      </c>
      <c r="L94" s="192">
        <f t="shared" si="5"/>
        <v>0</v>
      </c>
      <c r="M94" s="25"/>
      <c r="N94" s="25"/>
    </row>
    <row r="95" spans="1:14" customFormat="1" ht="30.5" customHeight="1" x14ac:dyDescent="0.35">
      <c r="A95" s="265" t="s">
        <v>375</v>
      </c>
      <c r="B95" s="671" t="s">
        <v>376</v>
      </c>
      <c r="C95" s="671"/>
      <c r="D95" s="671"/>
      <c r="E95" s="673" t="str">
        <f>Table_4_UK!$A$1&amp;" Head "&amp;Table_4_UK!A61&amp;" ("&amp;Table_4_UK!AC3&amp;")"&amp;", "&amp;Table_7_UK!$A$1&amp;" Head "&amp;Table_7_UK!A97&amp;" ("&amp;Table_7_UK!O3&amp;")"</f>
        <v>Table 4: Head 4 (Non-EU (non-UK) industry, commerce and public corporations), Table 7: Head 6l (Total expenditure)</v>
      </c>
      <c r="F95" s="673"/>
      <c r="G95" s="264" t="s">
        <v>238</v>
      </c>
      <c r="H95" s="264" t="str">
        <f>IF(AND(OR(Table_4_UK!AC61=0,Table_7_UK!O97&lt;&gt;0),OR(Table_7_UK!O97=0,Table_4_UK!AC61&lt;&gt;0)),"PASS","FAIL")</f>
        <v>PASS</v>
      </c>
      <c r="I95" s="139" t="str">
        <f>IF(AND(OR(Table_4_UK!AC61=0,Table_7_UK!O97&lt;&gt;0),OR(Table_7_UK!O97=0,Table_4_UK!AC61&lt;&gt;0)),"",Table_4_UK!$A$1&amp;" Head "&amp;Table_4_UK!A61&amp;" ("&amp;Table_4_UK!AC61&amp;")"&amp;", "&amp;Table_7_UK!$A$1&amp;" Head "&amp;Table_7_UK!A97&amp;" ("&amp;Table_7_UK!O97&amp;")")</f>
        <v/>
      </c>
      <c r="J95" s="266" t="str">
        <f>Table_4_UK!AC61&amp;", "&amp;Table_7_UK!O97</f>
        <v>11329, 12897</v>
      </c>
      <c r="K95" s="192">
        <f t="shared" si="4"/>
        <v>0</v>
      </c>
      <c r="L95" s="192">
        <f t="shared" si="5"/>
        <v>0</v>
      </c>
      <c r="M95" s="25"/>
      <c r="N95" s="25"/>
    </row>
    <row r="96" spans="1:14" customFormat="1" ht="30.5" customHeight="1" x14ac:dyDescent="0.35">
      <c r="A96" s="265" t="s">
        <v>377</v>
      </c>
      <c r="B96" s="671" t="s">
        <v>378</v>
      </c>
      <c r="C96" s="671"/>
      <c r="D96" s="671"/>
      <c r="E96" s="673" t="str">
        <f>Table_4_UK!$A$1&amp;" Head "&amp;Table_4_UK!A61&amp;" ("&amp;Table_4_UK!AD3&amp;")"&amp;", "&amp;Table_7_UK!$A$1&amp;" Head "&amp;Table_7_UK!A98&amp;" ("&amp;Table_7_UK!O3&amp;")"</f>
        <v>Table 4: Head 4 (Non-EU (non-UK) other), Table 7: Head 6m (Total expenditure)</v>
      </c>
      <c r="F96" s="673"/>
      <c r="G96" s="264" t="s">
        <v>238</v>
      </c>
      <c r="H96" s="264" t="str">
        <f>IF(AND(OR(Table_4_UK!AD61=0,Table_7_UK!O98&lt;&gt;0),OR(Table_7_UK!O98=0,Table_4_UK!AD61&lt;&gt;0)),"PASS","FAIL")</f>
        <v>PASS</v>
      </c>
      <c r="I96" s="139" t="str">
        <f>IF(AND(OR(Table_4_UK!AD61=0,Table_7_UK!O98&lt;&gt;0),OR(Table_7_UK!O98=0,Table_4_UK!AD61&lt;&gt;0)),"",Table_4_UK!$A$1&amp;" Head "&amp;Table_4_UK!A61&amp;" ("&amp;Table_4_UK!AD61&amp;")"&amp;", "&amp;Table_7_UK!$A$1&amp;" Head "&amp;Table_7_UK!A98&amp;" ("&amp;Table_7_UK!O98&amp;")")</f>
        <v/>
      </c>
      <c r="J96" s="266" t="str">
        <f>Table_4_UK!AD61&amp;", "&amp;Table_7_UK!O98</f>
        <v>11189, 3877</v>
      </c>
      <c r="K96" s="192">
        <f t="shared" si="4"/>
        <v>0</v>
      </c>
      <c r="L96" s="192">
        <f t="shared" si="5"/>
        <v>0</v>
      </c>
      <c r="M96" s="25"/>
      <c r="N96" s="25"/>
    </row>
    <row r="97" spans="1:14" customFormat="1" ht="30.5" customHeight="1" x14ac:dyDescent="0.35">
      <c r="A97" s="262" t="s">
        <v>379</v>
      </c>
      <c r="B97" s="671" t="s">
        <v>380</v>
      </c>
      <c r="C97" s="671"/>
      <c r="D97" s="671"/>
      <c r="E97" s="672" t="str">
        <f>Table_5_UK!$A$1&amp;" Head "&amp;Table_5_UK!A63&amp;", "&amp;Table_5_UK!A65</f>
        <v>Table 5: Head 4a, 4c</v>
      </c>
      <c r="F97" s="672"/>
      <c r="G97" s="254" t="s">
        <v>233</v>
      </c>
      <c r="H97" s="255" t="str">
        <f>IF(OR(Table_5_UK!K65=0,Table_5_UK!K65&gt;Table_5_UK!K63),"PASS","FAIL")</f>
        <v>PASS</v>
      </c>
      <c r="I97" s="256" t="str">
        <f>IF(OR(Table_5_UK!K65=0,Table_5_UK!K65&gt;Table_5_UK!K63),"","Head "&amp;Table_5_UK!A63&amp;", "&amp;Table_5_UK!A65&amp;" ("&amp;J97&amp;")")</f>
        <v/>
      </c>
      <c r="J97" s="257" t="str">
        <f>Table_5_UK!K63&amp;", "&amp;Table_5_UK!K65</f>
        <v>0, 25100</v>
      </c>
      <c r="K97" s="192">
        <f t="shared" si="4"/>
        <v>0</v>
      </c>
      <c r="L97" s="192">
        <f t="shared" si="5"/>
        <v>0</v>
      </c>
      <c r="M97" s="25"/>
      <c r="N97" s="25"/>
    </row>
    <row r="98" spans="1:14" s="25" customFormat="1" ht="30.5" customHeight="1" x14ac:dyDescent="0.25">
      <c r="A98" s="262" t="s">
        <v>381</v>
      </c>
      <c r="B98" s="671" t="s">
        <v>382</v>
      </c>
      <c r="C98" s="671"/>
      <c r="D98" s="671"/>
      <c r="E98" s="672" t="str">
        <f>Table_5_UK!$A$1&amp;" Head "&amp;Table_5_UK!A26&amp;" "&amp;Table_5_UK!A27&amp;", "&amp;Table_5_UK!A28&amp;", "&amp;Table_5_UK!A29&amp;", "&amp;Table_5_UK!A31</f>
        <v>Table 5: Head 1c i, ii, iii, v</v>
      </c>
      <c r="F98" s="672"/>
      <c r="G98" s="264" t="s">
        <v>233</v>
      </c>
      <c r="H98" s="260" t="str">
        <f>IF(AND($B$4="S",Table_5_UK!H27+Table_5_UK!H28+Table_5_UK!H29+Table_5_UK!H31=0),"FAIL","PASS")</f>
        <v>PASS</v>
      </c>
      <c r="I98" s="256" t="str">
        <f>IF(AND($B$4="S",Table_5_UK!H27+Table_5_UK!H28+Table_5_UK!H29+Table_5_UK!H31=0),"Head "&amp;Table_5_UK!A26&amp;" "&amp;Table_5_UK!A27&amp;", "&amp;Table_5_UK!A28&amp;", "&amp;Table_5_UK!A29&amp;", "&amp;Table_5_UK!A31&amp;" ("&amp;J98&amp;")","")</f>
        <v/>
      </c>
      <c r="J98" s="261">
        <f>SUM(Table_5_UK!H27+Table_5_UK!H28+Table_5_UK!H29+Table_5_UK!H31)</f>
        <v>66038</v>
      </c>
      <c r="K98" s="268">
        <f t="shared" si="4"/>
        <v>0</v>
      </c>
      <c r="L98" s="268">
        <f t="shared" si="5"/>
        <v>0</v>
      </c>
    </row>
    <row r="99" spans="1:14" customFormat="1" ht="30.5" customHeight="1" x14ac:dyDescent="0.35">
      <c r="A99" s="262" t="s">
        <v>383</v>
      </c>
      <c r="B99" s="671" t="s">
        <v>384</v>
      </c>
      <c r="C99" s="671"/>
      <c r="D99" s="671"/>
      <c r="E99" s="672" t="str">
        <f>Table_5_UK!$A$1&amp;" Head "&amp;Table_5_UK!A26&amp;" "&amp;Table_5_UK!A27&amp;", "&amp;Table_5_UK!A28&amp;", "&amp;Table_5_UK!A29&amp;", "&amp;Table_5_UK!A31</f>
        <v>Table 5: Head 1c i, ii, iii, v</v>
      </c>
      <c r="F99" s="672"/>
      <c r="G99" s="264" t="s">
        <v>233</v>
      </c>
      <c r="H99" s="255" t="str">
        <f>IF(AND($B$4="W",Table_5_UK!H27+Table_5_UK!H28+Table_5_UK!H29+Table_5_UK!H31=0),"FAIL","PASS")</f>
        <v>PASS</v>
      </c>
      <c r="I99" s="256" t="str">
        <f>IF(AND($B$4="W",Table_5_UK!H27+Table_5_UK!H28+Table_5_UK!H29+Table_5_UK!H31=0),"Head "&amp;Table_5_UK!A26&amp;" "&amp;Table_5_UK!A27&amp;", "&amp;Table_5_UK!A28&amp;", "&amp;Table_5_UK!A29&amp;", "&amp;Table_5_UK!A31&amp;" ("&amp;J99&amp;")","")</f>
        <v/>
      </c>
      <c r="J99" s="261">
        <f>SUM(Table_5_UK!H27+Table_5_UK!H28+Table_5_UK!H29+Table_5_UK!H31)</f>
        <v>66038</v>
      </c>
      <c r="K99" s="192">
        <f t="shared" si="4"/>
        <v>0</v>
      </c>
      <c r="L99" s="192">
        <f t="shared" si="5"/>
        <v>0</v>
      </c>
      <c r="M99" s="25"/>
      <c r="N99" s="25"/>
    </row>
    <row r="100" spans="1:14" customFormat="1" ht="30.5" customHeight="1" x14ac:dyDescent="0.35">
      <c r="A100" s="262" t="s">
        <v>385</v>
      </c>
      <c r="B100" s="671" t="s">
        <v>386</v>
      </c>
      <c r="C100" s="671"/>
      <c r="D100" s="671"/>
      <c r="E100" s="672" t="str">
        <f>Table_5_UK!$A$1&amp;" Head "&amp;Table_5_UK!A26&amp;" "&amp;Table_5_UK!A27&amp;", "&amp;Table_5_UK!A28&amp;", "&amp;Table_5_UK!A29&amp;", "&amp;Table_5_UK!A31</f>
        <v>Table 5: Head 1c i, ii, iii, v</v>
      </c>
      <c r="F100" s="672"/>
      <c r="G100" s="264" t="s">
        <v>233</v>
      </c>
      <c r="H100" s="255" t="str">
        <f>IF(AND($B$4="N",Table_5_UK!H27+Table_5_UK!H28+Table_5_UK!H29+Table_5_UK!H31=0),"FAIL","PASS")</f>
        <v>PASS</v>
      </c>
      <c r="I100" s="256" t="str">
        <f>IF(AND($B$4="N",Table_5_UK!H27+Table_5_UK!H28+Table_5_UK!H29+Table_5_UK!H31=0),"Head "&amp;Table_5_UK!A26&amp;" "&amp;Table_5_UK!A27&amp;", "&amp;Table_5_UK!A28&amp;", "&amp;Table_5_UK!A29&amp;", "&amp;Table_5_UK!A31&amp;" ("&amp;J100&amp;")","")</f>
        <v/>
      </c>
      <c r="J100" s="261">
        <f>SUM(Table_5_UK!H27+Table_5_UK!H28+Table_5_UK!H29+Table_5_UK!H31)</f>
        <v>66038</v>
      </c>
      <c r="K100" s="192">
        <f t="shared" si="4"/>
        <v>0</v>
      </c>
      <c r="L100" s="192">
        <f t="shared" si="5"/>
        <v>0</v>
      </c>
      <c r="M100" s="25"/>
      <c r="N100" s="25"/>
    </row>
    <row r="101" spans="1:14" customFormat="1" ht="30.5" customHeight="1" x14ac:dyDescent="0.35">
      <c r="A101" s="262" t="s">
        <v>387</v>
      </c>
      <c r="B101" s="671" t="s">
        <v>388</v>
      </c>
      <c r="C101" s="671"/>
      <c r="D101" s="671"/>
      <c r="E101" s="672" t="str">
        <f>Table_5_UK!$A$1&amp;" Head "&amp;Table_5_UK!A36&amp;Table_5_UK!A44</f>
        <v>Table 5: Head 1dviii</v>
      </c>
      <c r="F101" s="672"/>
      <c r="G101" s="264" t="s">
        <v>238</v>
      </c>
      <c r="H101" s="255" t="str">
        <f>IF(Table_5_UK!K44&lt;=0,"FAIL","PASS")</f>
        <v>PASS</v>
      </c>
      <c r="I101" s="256" t="str">
        <f>IF(Table_5_UK!K44&lt;=0,"Head "&amp;Table_5_UK!A36&amp;Table_5_UK!A44&amp;" ("&amp;J101&amp;")","")</f>
        <v/>
      </c>
      <c r="J101" s="261">
        <f>Table_5_UK!K44</f>
        <v>25699</v>
      </c>
      <c r="K101" s="192">
        <f t="shared" si="4"/>
        <v>0</v>
      </c>
      <c r="L101" s="192">
        <f t="shared" si="5"/>
        <v>0</v>
      </c>
      <c r="M101" s="25"/>
      <c r="N101" s="25"/>
    </row>
    <row r="102" spans="1:14" customFormat="1" ht="30.5" customHeight="1" x14ac:dyDescent="0.35">
      <c r="A102" s="262" t="s">
        <v>389</v>
      </c>
      <c r="B102" s="671" t="s">
        <v>390</v>
      </c>
      <c r="C102" s="671"/>
      <c r="D102" s="671"/>
      <c r="E102" s="672" t="str">
        <f>Table_5_UK!$A$1&amp;" Head "&amp;Table_5_UK!A48&amp;Table_5_UK!A56</f>
        <v>Table 5: Head 1fviii</v>
      </c>
      <c r="F102" s="672"/>
      <c r="G102" s="264" t="s">
        <v>238</v>
      </c>
      <c r="H102" s="255" t="str">
        <f>IF(Table_5_UK!K56&lt;=0,"FAIL","PASS")</f>
        <v>PASS</v>
      </c>
      <c r="I102" s="256" t="str">
        <f>IF(Table_5_UK!K56&lt;=0,"Head "&amp;Table_5_UK!A48&amp;Table_5_UK!A56&amp;" ("&amp;J102&amp;")","")</f>
        <v/>
      </c>
      <c r="J102" s="261">
        <f>Table_5_UK!K56</f>
        <v>388501</v>
      </c>
      <c r="K102" s="192">
        <f t="shared" si="4"/>
        <v>0</v>
      </c>
      <c r="L102" s="192">
        <f t="shared" si="5"/>
        <v>0</v>
      </c>
      <c r="M102" s="25"/>
      <c r="N102" s="25"/>
    </row>
    <row r="103" spans="1:14" customFormat="1" ht="30.5" customHeight="1" x14ac:dyDescent="0.35">
      <c r="A103" s="262" t="s">
        <v>391</v>
      </c>
      <c r="B103" s="671" t="s">
        <v>392</v>
      </c>
      <c r="C103" s="671"/>
      <c r="D103" s="671"/>
      <c r="E103" s="672" t="str">
        <f>Table_5_UK!$A$1&amp;" Head "&amp;Table_5_UK!A26&amp;", "&amp;Table_5_UK!A36&amp;", "&amp;Table_5_UK!A48&amp;", "&amp;Table_5_UK!A60&amp;", "&amp;Table_5_UK!A61&amp;", "&amp;Table_5_UK!A62</f>
        <v>Table 5: Head 1c, 1d, 1f, 2, 3, 4</v>
      </c>
      <c r="F103" s="672"/>
      <c r="G103" s="264" t="s">
        <v>238</v>
      </c>
      <c r="H103" s="255" t="str">
        <f>IF(AND(Table_5_UK!T8&gt;19, Table_5_UK!T8&lt;25),"FAIL","PASS")</f>
        <v>PASS</v>
      </c>
      <c r="I103" s="256" t="str">
        <f>IF(AND(Table_5_UK!T8&gt;19, Table_5_UK!T8&lt;25),"Head "&amp;Table_5_UK!A26&amp;", "&amp;Table_5_UK!A36&amp;", "&amp;Table_5_UK!A48&amp;", "&amp;Table_5_UK!A60&amp;", "&amp;Table_5_UK!A61&amp;", "&amp;Table_5_UK!A62&amp;" ("&amp;J103&amp;")","")</f>
        <v/>
      </c>
      <c r="J103" s="257" t="str">
        <f>Table_5_UK!K27&amp;", "&amp;Table_5_UK!K28&amp;", "&amp;Table_5_UK!K29&amp;", "&amp;Table_5_UK!K30&amp;", "&amp;Table_5_UK!K31&amp;", "&amp;Table_5_UK!K32&amp;", "&amp;Table_5_UK!K33&amp;", "&amp;Table_5_UK!K37&amp;", "&amp;Table_5_UK!K38&amp;", "&amp;Table_5_UK!K39&amp;", "&amp;Table_5_UK!K40&amp;", "&amp;Table_5_UK!K41&amp;", "&amp;Table_5_UK!K42&amp;", "&amp;Table_5_UK!K43&amp;", "&amp;Table_5_UK!K49&amp;", "&amp;Table_5_UK!K50&amp;", "&amp;Table_5_UK!K51&amp;", "&amp;Table_5_UK!K52&amp;", "&amp;Table_5_UK!K53&amp;", "&amp;Table_5_UK!K54&amp;", "&amp;Table_5_UK!K55&amp;", "&amp;Table_5_UK!K60&amp;", "&amp;Table_5_UK!K61&amp;", "&amp;Table_5_UK!K63&amp;", "&amp;Table_5_UK!K64</f>
        <v>86450, 0, 10614, 3504, 71, 8638, 885, 15221, 0, 6747, 1119, 9, 2419, 184, 195686, 0, 158740, 22159, 0, 10899, 1017, 7000, 0, 0, 25100</v>
      </c>
      <c r="K103" s="192">
        <f t="shared" si="4"/>
        <v>0</v>
      </c>
      <c r="L103" s="192">
        <f t="shared" si="5"/>
        <v>0</v>
      </c>
      <c r="M103" s="25"/>
      <c r="N103" s="25"/>
    </row>
    <row r="104" spans="1:14" customFormat="1" ht="30.5" customHeight="1" x14ac:dyDescent="0.35">
      <c r="A104" s="262" t="s">
        <v>393</v>
      </c>
      <c r="B104" s="671" t="s">
        <v>394</v>
      </c>
      <c r="C104" s="671"/>
      <c r="D104" s="671"/>
      <c r="E104" s="672" t="str">
        <f>Table_5_UK!$A$1&amp;" Head "&amp;Table_5_UK!A67&amp;", "&amp;Table_1_UK!$A$1&amp;" Head "&amp;Table_1_UK!A6</f>
        <v>Table 5: Head 5, Table 1: Head 1a</v>
      </c>
      <c r="F104" s="672"/>
      <c r="G104" s="264" t="s">
        <v>233</v>
      </c>
      <c r="H104" s="255" t="str">
        <f>IF(Table_5_UK!O67&lt;&gt;Table_1_UK!I6,"FAIL","PASS")</f>
        <v>PASS</v>
      </c>
      <c r="I104" s="256" t="str">
        <f>IF(Table_5_UK!O67&lt;&gt;Table_1_UK!I6,Table_5_UK!$A$1&amp;" Head "&amp;Table_5_UK!A67&amp;" ("&amp;Table_5_UK!O67&amp;")"&amp;", "&amp;Table_1_UK!$A$1&amp;" Head "&amp;Table_1_UK!A6&amp;" ("&amp;Table_1_UK!I6&amp;")","")</f>
        <v/>
      </c>
      <c r="J104" s="261" t="str">
        <f>Table_5_UK!O67&amp;", "&amp;Table_1_UK!I6</f>
        <v>527155, 527155</v>
      </c>
      <c r="K104" s="192">
        <f t="shared" si="4"/>
        <v>0</v>
      </c>
      <c r="L104" s="192">
        <f t="shared" si="5"/>
        <v>0</v>
      </c>
      <c r="M104" s="25"/>
      <c r="N104" s="25"/>
    </row>
    <row r="105" spans="1:14" customFormat="1" ht="30.5" customHeight="1" x14ac:dyDescent="0.35">
      <c r="A105" s="262" t="s">
        <v>395</v>
      </c>
      <c r="B105" s="671" t="s">
        <v>396</v>
      </c>
      <c r="C105" s="671"/>
      <c r="D105" s="671"/>
      <c r="E105" s="672" t="str">
        <f>Table_5_UK!$A$1&amp;" Head "&amp;Table_5_UK!A8&amp;" "&amp;Table_5_UK!A9&amp;", "&amp;Table_5_UK!A10&amp;", "&amp;Table_5_UK!A11&amp;", "&amp;Table_5_UK!A12&amp;", "&amp;Table_5_UK!A13&amp;", "&amp;Table_5_UK!A14&amp;", "&amp;Table_5_UK!A15&amp;", "&amp;Table_5_UK!A17&amp;" "&amp;Table_5_UK!A18&amp;", "&amp;Table_5_UK!A19&amp;", "&amp;Table_5_UK!A20&amp;", "&amp;Table_5_UK!A21&amp;", "&amp;Table_5_UK!A22&amp;", "&amp;Table_5_UK!A23&amp;", "&amp;Table_5_UK!A24&amp;", "&amp;Table_5_UK!A36&amp;" "&amp;Table_5_UK!A37&amp;", "&amp;Table_5_UK!A38&amp;", "&amp;Table_5_UK!A39&amp;", "&amp;Table_5_UK!A40&amp;", "&amp;Table_5_UK!A41&amp;", "&amp;Table_5_UK!A42&amp;", "&amp;Table_5_UK!A43&amp;", "&amp;Table_5_UK!A48&amp;" "&amp;Table_5_UK!A49&amp;", "&amp;Table_5_UK!A50&amp;", "&amp;Table_5_UK!A51&amp;", "&amp;Table_5_UK!A52&amp;", "&amp;Table_5_UK!A53&amp;", "&amp;Table_5_UK!A54&amp;", "&amp;Table_5_UK!A55&amp;", "&amp;Table_5_UK!A60&amp;", "&amp;Table_5_UK!A61&amp;", "&amp;Table_5_UK!A63&amp;", "&amp;Table_5_UK!A64</f>
        <v>Table 5: Head 1a i, ii, iii, iv, v, vi, vii, 1b i, ii, iii, iv, v, vi, vii, 1d i, ii, iii, iv, v, vi, vii, 1f i, ii, iii, iv, v, vi, vii, 2, 3, 4a, 4b</v>
      </c>
      <c r="F105" s="672"/>
      <c r="G105" s="255" t="s">
        <v>238</v>
      </c>
      <c r="H105" s="260" t="str">
        <f>IF(OR(AND(Table_5_UK!U9&gt;750,Table_5_UK!V9&gt;2),AND(Table_5_UK!U9&lt;-750,Table_5_UK!V9&gt;2),AND(Table_5_UK!U10&gt;750,Table_5_UK!V10&gt;2),AND(Table_5_UK!U10&lt;-750,Table_5_UK!V10&gt;2),AND(Table_5_UK!U11&gt;750,Table_5_UK!V11&gt;2),AND(Table_5_UK!U11&lt;-750,Table_5_UK!V11&gt;2),AND(Table_5_UK!U12&gt;750,Table_5_UK!V12&gt;2),AND(Table_5_UK!U12&lt;-750,Table_5_UK!V12&gt;2),AND(Table_5_UK!U13&gt;750,Table_5_UK!V13&gt;2),AND(Table_5_UK!U13&lt;-750,Table_5_UK!V13&gt;2),AND(Table_5_UK!U14&gt;750,Table_5_UK!V14&gt;2),AND(Table_5_UK!U14&lt;-750,Table_5_UK!V14&gt;2),AND(Table_5_UK!U15&gt;750,Table_5_UK!V15&gt;2),AND(Table_5_UK!U15&lt;-750,Table_5_UK!V15&gt;2),AND(Table_5_UK!U18&gt;750,Table_5_UK!V18&gt;2),AND(Table_5_UK!U18&lt;-750,Table_5_UK!V18&gt;2),AND(Table_5_UK!U19&gt;750,Table_5_UK!V19&gt;2),AND(Table_5_UK!U19&lt;-750,Table_5_UK!V19&gt;2),AND(Table_5_UK!U20&gt;750,Table_5_UK!V20&gt;2),AND(Table_5_UK!U20&lt;-750,Table_5_UK!V20&gt;2),AND(Table_5_UK!U21&gt;750,Table_5_UK!V21&gt;2),AND(Table_5_UK!U21&lt;-750,Table_5_UK!V21&gt;2),AND(Table_5_UK!U22&gt;750,Table_5_UK!V22&gt;2),AND(Table_5_UK!U22&lt;-750,Table_5_UK!V22&gt;2),AND(Table_5_UK!U23&gt;750,Table_5_UK!V23&gt;2),AND(Table_5_UK!U23&lt;-750,Table_5_UK!V23&gt;2),AND(Table_5_UK!U24&gt;750,Table_5_UK!V24&gt;2),AND(Table_5_UK!U24&lt;-750,Table_5_UK!V24&gt;2),AND(Table_5_UK!U37&gt;750,Table_5_UK!V37&gt;2),AND(Table_5_UK!U37&lt;-750,Table_5_UK!V37&gt;2),AND(Table_5_UK!U38&gt;750,Table_5_UK!V38&gt;2),AND(Table_5_UK!U38&lt;-750,Table_5_UK!V38&gt;2),AND(Table_5_UK!U39&gt;750,Table_5_UK!V39&gt;2),AND(Table_5_UK!U39&lt;-750,Table_5_UK!V39&gt;2),AND(Table_5_UK!U40&gt;750,Table_5_UK!V40&gt;2),AND(Table_5_UK!U40&lt;-750,Table_5_UK!V40&gt;2),AND(Table_5_UK!U41&gt;750,Table_5_UK!V41&gt;2),AND(Table_5_UK!U41&lt;-750,Table_5_UK!V41&gt;2),AND(Table_5_UK!U42&gt;750,Table_5_UK!V42&gt;2),AND(Table_5_UK!U42&lt;-750,Table_5_UK!V42&gt;2),AND(Table_5_UK!U43&gt;750,Table_5_UK!V43&gt;2),AND(Table_5_UK!U43&lt;-750,Table_5_UK!V43&gt;2),AND(Table_5_UK!U49&gt;750,Table_5_UK!V49&gt;2),AND(Table_5_UK!U49&lt;-750,Table_5_UK!V49&gt;2),AND(Table_5_UK!U50&gt;750,Table_5_UK!V50&gt;2),AND(Table_5_UK!U50&lt;-750,Table_5_UK!V50&gt;2),AND(Table_5_UK!U51&gt;750,Table_5_UK!V51&gt;2),AND(Table_5_UK!U51&lt;-750,Table_5_UK!V51&gt;2),AND(Table_5_UK!U52&gt;750,Table_5_UK!V52&gt;2),AND(Table_5_UK!U52&lt;-750,Table_5_UK!V52&gt;2),AND(Table_5_UK!U53&gt;750,Table_5_UK!V53&gt;2),AND(Table_5_UK!U53&lt;-750,Table_5_UK!V53&gt;2),AND(Table_5_UK!U54&gt;750,Table_5_UK!V54&gt;2),AND(Table_5_UK!U54&lt;-750,Table_5_UK!V54&gt;2),AND(Table_5_UK!U55&gt;750,Table_5_UK!V55&gt;2),AND(Table_5_UK!U55&lt;-750,Table_5_UK!V55&gt;2),AND(Table_5_UK!U60&gt;750,Table_5_UK!V60&gt;2),AND(Table_5_UK!U60&lt;-750,Table_5_UK!V60&gt;2),AND(Table_5_UK!U61&gt;750,Table_5_UK!V61&gt;2),AND(Table_5_UK!U61&lt;-750,Table_5_UK!V61&gt;2),AND(Table_5_UK!U63&gt;750,Table_5_UK!V63&gt;2),AND(Table_5_UK!U63&lt;-750,Table_5_UK!V63&gt;2),AND(Table_5_UK!U64&gt;750,Table_5_UK!V64&gt;2),AND(Table_5_UK!U64&lt;-750,Table_5_UK!V64&gt;2)),"FAIL","PASS")</f>
        <v>FAIL</v>
      </c>
      <c r="I105" s="256" t="str">
        <f>IF(Table_5_UK!AC1="FAIL",CONCATENATE(Table_5_UK!AC5," ",Table_5_UK!AC9,Table_5_UK!AC10,Table_5_UK!AC11,Table_5_UK!AC12,Table_5_UK!AC13,Table_5_UK!AC14,Table_5_UK!AC15,Table_5_UK!AC18,Table_5_UK!AC19,Table_5_UK!AC20,Table_5_UK!AC21,Table_5_UK!AC22,Table_5_UK!AC23,Table_5_UK!AC24,Table_5_UK!AC37,Table_5_UK!AC38,Table_5_UK!AC39,Table_5_UK!AC40,Table_5_UK!AC41,Table_5_UK!AC42,Table_5_UK!AC43,Table_5_UK!AC49,Table_5_UK!AC50,Table_5_UK!AC51,Table_5_UK!AC52,Table_5_UK!AC53,Table_5_UK!AC54,Table_5_UK!AC55,Table_5_UK!AC60,Table_5_UK!AC61,Table_5_UK!AC63,Table_5_UK!AC64),"")</f>
        <v xml:space="preserve">Head 1diii (6747, 1831), 1div (1119, 3653), </v>
      </c>
      <c r="J105" s="261" t="str">
        <f>Table_5_UK!K9&amp;", "&amp;Table_5_UK!K10&amp;", "&amp;Table_5_UK!K11&amp;", "&amp;Table_5_UK!K12&amp;", "&amp;Table_5_UK!K13&amp;", "&amp;Table_5_UK!K14&amp;", "&amp;Table_5_UK!K15&amp;", "&amp;Table_5_UK!K18&amp;", "&amp;Table_5_UK!K19&amp;", "&amp;Table_5_UK!K20&amp;", "&amp;Table_5_UK!K21&amp;", "&amp;Table_5_UK!K22&amp;", "&amp;Table_5_UK!K23&amp;", "&amp;Table_5_UK!K24&amp;", "&amp;Table_5_UK!K37&amp;", "&amp;Table_5_UK!K38&amp;", "&amp;Table_5_UK!K39&amp;", "&amp;Table_5_UK!K40&amp;", "&amp;Table_5_UK!K41&amp;", "&amp;Table_5_UK!K42&amp;", "&amp;Table_5_UK!K43&amp;", "&amp;Table_5_UK!K49&amp;", "&amp;Table_5_UK!K50&amp;", "&amp;Table_5_UK!K51&amp;", "&amp;Table_5_UK!K52&amp;", "&amp;Table_5_UK!K53&amp;", "&amp;Table_5_UK!K54&amp;", "&amp;Table_5_UK!K55&amp;", "&amp;Table_5_UK!K60&amp;", "&amp;Table_5_UK!K61&amp;", "&amp;Table_5_UK!K63&amp;", "&amp;Table_5_UK!K64</f>
        <v>13735, 0, 5504, 2655, 76, 3733, 560, 72715, 0, 5110, 849, -5, 4905, 325, 15221, 0, 6747, 1119, 9, 2419, 184, 195686, 0, 158740, 22159, 0, 10899, 1017, 7000, 0, 0, 25100</v>
      </c>
      <c r="K105" s="192">
        <f t="shared" si="4"/>
        <v>0</v>
      </c>
      <c r="L105" s="192">
        <f t="shared" si="5"/>
        <v>1</v>
      </c>
      <c r="M105" s="25"/>
      <c r="N105" s="25"/>
    </row>
    <row r="106" spans="1:14" customFormat="1" ht="30.5" customHeight="1" x14ac:dyDescent="0.35">
      <c r="A106" s="262" t="s">
        <v>397</v>
      </c>
      <c r="B106" s="671" t="s">
        <v>398</v>
      </c>
      <c r="C106" s="671"/>
      <c r="D106" s="671"/>
      <c r="E106" s="267" t="str">
        <f>Table_5_UK!$A$1&amp;" Head "&amp;Table_5_UK!A70&amp;", "&amp;Table_5_UK!A71</f>
        <v>Table 5: Head 6a, 6b</v>
      </c>
      <c r="F106" s="267"/>
      <c r="G106" s="255" t="s">
        <v>238</v>
      </c>
      <c r="H106" s="260" t="str">
        <f>IF(AND($B$4&lt;&gt;"X",OR(Table_5_UK!K70=0),OR(Table_5_UK!K71=0)),"FAIL","PASS")</f>
        <v>PASS</v>
      </c>
      <c r="I106" s="256" t="str">
        <f>IF(AND($B$4&lt;&gt;"X",OR(Table_5_UK!K70=0),OR(Table_5_UK!K71=0)),"Head "&amp;Table_5_UK!A70&amp;", "&amp;Table_5_UK!A71&amp;" ("&amp;J106&amp;")","")</f>
        <v/>
      </c>
      <c r="J106" s="261" t="str">
        <f>Table_5_UK!K70&amp;", "&amp;Table_5_UK!K71</f>
        <v>3143, 17631</v>
      </c>
      <c r="K106" s="192">
        <f t="shared" si="4"/>
        <v>0</v>
      </c>
      <c r="L106" s="192">
        <f t="shared" si="5"/>
        <v>0</v>
      </c>
      <c r="M106" s="25"/>
      <c r="N106" s="25"/>
    </row>
    <row r="107" spans="1:14" customFormat="1" ht="30.5" customHeight="1" x14ac:dyDescent="0.35">
      <c r="A107" s="263" t="s">
        <v>399</v>
      </c>
      <c r="B107" s="671" t="s">
        <v>400</v>
      </c>
      <c r="C107" s="671"/>
      <c r="D107" s="671"/>
      <c r="E107" s="672" t="str">
        <f>Table_6_Wales!$A$1&amp;" Head "&amp;Table_6_Wales!A15</f>
        <v>Table 6_W: Head 1j</v>
      </c>
      <c r="F107" s="672"/>
      <c r="G107" s="255" t="s">
        <v>233</v>
      </c>
      <c r="H107" s="260" t="str">
        <f>IF(OR(AND($B$4="W",Table_6_Wales!H15&gt;=0),AND(OR($B$4="S",$B$4="N",$B$4="X"),Table_6_Wales!H15=0)),"PASS","FAIL")</f>
        <v>PASS</v>
      </c>
      <c r="I107" s="256" t="str">
        <f>IF(OR(AND($B$4="W",Table_6_Wales!H15&gt;=0),AND(OR($B$4="S",$B$4="N",$B$4="X"),Table_6_Wales!H15=0)),"","Head "&amp;Table_6_Wales!H15&amp;" ("&amp;J107&amp;")")</f>
        <v/>
      </c>
      <c r="J107" s="266">
        <f>Table_6_Wales!H15</f>
        <v>0</v>
      </c>
      <c r="K107" s="192">
        <f t="shared" si="4"/>
        <v>0</v>
      </c>
      <c r="L107" s="192">
        <f t="shared" si="5"/>
        <v>0</v>
      </c>
      <c r="M107" s="25"/>
      <c r="N107" s="25"/>
    </row>
    <row r="108" spans="1:14" customFormat="1" ht="30.5" customHeight="1" x14ac:dyDescent="0.35">
      <c r="A108" s="263" t="s">
        <v>401</v>
      </c>
      <c r="B108" s="671" t="s">
        <v>402</v>
      </c>
      <c r="C108" s="671"/>
      <c r="D108" s="671"/>
      <c r="E108" s="672" t="str">
        <f>Table_6_Scotland!$A$1&amp;" Head "&amp;Table_6_Scotland!A14</f>
        <v>Table 6_S: Head 1i</v>
      </c>
      <c r="F108" s="672"/>
      <c r="G108" s="255" t="s">
        <v>233</v>
      </c>
      <c r="H108" s="260" t="str">
        <f>IF(OR(AND($B$4="S",Table_6_Scotland!H14&gt;=0),AND(OR($B$4="W",$B$4="N",$B$4="X"),Table_6_Scotland!H14=0)),"PASS","FAIL")</f>
        <v>PASS</v>
      </c>
      <c r="I108" s="256" t="str">
        <f>IF(OR(AND($B$4="S",Table_6_Scotland!H14&gt;=0),AND(OR($B$4="W",$B$4="N",$B$4="X"),Table_6_Scotland!H14=0)),"","Head "&amp;Table_6_Scotland!A14&amp;" ("&amp;J108&amp;")")</f>
        <v/>
      </c>
      <c r="J108" s="266">
        <f>Table_6_Scotland!H14</f>
        <v>206796</v>
      </c>
      <c r="K108" s="192">
        <f t="shared" si="4"/>
        <v>0</v>
      </c>
      <c r="L108" s="192">
        <f t="shared" si="5"/>
        <v>0</v>
      </c>
      <c r="M108" s="25"/>
      <c r="N108" s="25"/>
    </row>
    <row r="109" spans="1:14" customFormat="1" ht="30.5" customHeight="1" x14ac:dyDescent="0.35">
      <c r="A109" s="263" t="s">
        <v>403</v>
      </c>
      <c r="B109" s="671" t="s">
        <v>404</v>
      </c>
      <c r="C109" s="671"/>
      <c r="D109" s="671"/>
      <c r="E109" s="672" t="str">
        <f>Table_6_N_Ireland!$A$1&amp;" Head "&amp;Table_6_N_Ireland!A11</f>
        <v>Table 6_NI: Head 1f</v>
      </c>
      <c r="F109" s="672"/>
      <c r="G109" s="255" t="s">
        <v>233</v>
      </c>
      <c r="H109" s="260" t="str">
        <f>IF(OR(AND($B$4="N",Table_6_N_Ireland!H11&gt;=0),AND(OR($B$4="S",$B$4="W",$B$4="X"),Table_6_N_Ireland!H11=0)),"PASS","FAIL")</f>
        <v>PASS</v>
      </c>
      <c r="I109" s="256" t="str">
        <f>IF(OR(AND($B$4="N",Table_6_N_Ireland!H11&gt;=0),AND(OR($B$4="S",$B$4="W",$B$4="X"),Table_6_N_Ireland!H11=0)),"","Head "&amp;Table_6_N_Ireland!A11&amp;" ("&amp;J109&amp;")")</f>
        <v/>
      </c>
      <c r="J109" s="266">
        <f>Table_6_N_Ireland!H11</f>
        <v>0</v>
      </c>
      <c r="K109" s="192">
        <f t="shared" si="4"/>
        <v>0</v>
      </c>
      <c r="L109" s="192">
        <f t="shared" si="5"/>
        <v>0</v>
      </c>
      <c r="M109" s="25"/>
      <c r="N109" s="25"/>
    </row>
    <row r="110" spans="1:14" customFormat="1" ht="30.5" customHeight="1" x14ac:dyDescent="0.35">
      <c r="A110" s="262" t="s">
        <v>405</v>
      </c>
      <c r="B110" s="671" t="s">
        <v>406</v>
      </c>
      <c r="C110" s="671"/>
      <c r="D110" s="671"/>
      <c r="E110" s="672" t="str">
        <f>Table_7_UK!$A$1&amp;" Head "&amp;Table_7_UK!A6&amp;" ("&amp;Table_7_UK!J3&amp;")"&amp;", "&amp;Table_7_UK!$A$1&amp;" Head "&amp;Table_7_UK!A6&amp;" ("&amp;Table_7_UK!L3&amp;")"</f>
        <v>Table 7: Head 1a (Total staff costs), Table 7: Head 1a (Other operating expenses)</v>
      </c>
      <c r="F110" s="672"/>
      <c r="G110" s="254" t="s">
        <v>238</v>
      </c>
      <c r="H110" s="255" t="str">
        <f>IF(OR(Table_7_UK!J6=0,Table_7_UK!L6&gt;0),"PASS","FAIL")</f>
        <v>PASS</v>
      </c>
      <c r="I110" s="256" t="str">
        <f>IF(OR(Table_7_UK!J6=0,Table_7_UK!L6&gt;0),"","Head "&amp;Table_7_UK!A6&amp;" ("&amp;J110&amp;")")</f>
        <v/>
      </c>
      <c r="J110" s="257" t="str">
        <f>Table_7_UK!J6&amp;", "&amp;Table_7_UK!L6</f>
        <v>85498, 14110</v>
      </c>
      <c r="K110" s="192">
        <f t="shared" si="4"/>
        <v>0</v>
      </c>
      <c r="L110" s="192">
        <f t="shared" si="5"/>
        <v>0</v>
      </c>
      <c r="M110" s="25"/>
      <c r="N110" s="25"/>
    </row>
    <row r="111" spans="1:14" customFormat="1" ht="30.5" customHeight="1" x14ac:dyDescent="0.35">
      <c r="A111" s="262" t="s">
        <v>407</v>
      </c>
      <c r="B111" s="671" t="s">
        <v>408</v>
      </c>
      <c r="C111" s="671"/>
      <c r="D111" s="671"/>
      <c r="E111" s="672" t="str">
        <f>Table_7_UK!$A$1&amp;" Head "&amp;Table_7_UK!A7&amp;" ("&amp;Table_7_UK!J3&amp;")"&amp;", "&amp;Table_7_UK!$A$1&amp;" Head "&amp;Table_7_UK!A7&amp;" ("&amp;Table_7_UK!L3&amp;")"</f>
        <v>Table 7: Head 1b (Total staff costs), Table 7: Head 1b (Other operating expenses)</v>
      </c>
      <c r="F111" s="672"/>
      <c r="G111" s="254" t="s">
        <v>238</v>
      </c>
      <c r="H111" s="255" t="str">
        <f>IF(OR(Table_7_UK!J7=0,Table_7_UK!L7&gt;0),"PASS","FAIL")</f>
        <v>PASS</v>
      </c>
      <c r="I111" s="256" t="str">
        <f>IF(OR(Table_7_UK!J7=0,Table_7_UK!L7&gt;0),"","Head "&amp;Table_7_UK!A7&amp;" ("&amp;J111&amp;")")</f>
        <v/>
      </c>
      <c r="J111" s="257" t="str">
        <f>Table_7_UK!J7&amp;", "&amp;Table_7_UK!L7</f>
        <v>1108, 357</v>
      </c>
      <c r="K111" s="192">
        <f t="shared" si="4"/>
        <v>0</v>
      </c>
      <c r="L111" s="192">
        <f t="shared" si="5"/>
        <v>0</v>
      </c>
      <c r="M111" s="25"/>
      <c r="N111" s="25"/>
    </row>
    <row r="112" spans="1:14" customFormat="1" ht="30.5" customHeight="1" x14ac:dyDescent="0.35">
      <c r="A112" s="262" t="s">
        <v>409</v>
      </c>
      <c r="B112" s="671" t="s">
        <v>410</v>
      </c>
      <c r="C112" s="671"/>
      <c r="D112" s="671"/>
      <c r="E112" s="672" t="str">
        <f>Table_7_UK!$A$1&amp;" Head "&amp;Table_7_UK!A8&amp;" ("&amp;Table_7_UK!J3&amp;")"&amp;", "&amp;Table_7_UK!$A$1&amp;" Head "&amp;Table_7_UK!A8&amp;" ("&amp;Table_7_UK!L3&amp;")"</f>
        <v>Table 7: Head 1c (Total staff costs), Table 7: Head 1c (Other operating expenses)</v>
      </c>
      <c r="F112" s="672"/>
      <c r="G112" s="254" t="s">
        <v>238</v>
      </c>
      <c r="H112" s="255" t="str">
        <f>IF(OR(Table_7_UK!J8=0,Table_7_UK!L8&gt;0),"PASS","FAIL")</f>
        <v>PASS</v>
      </c>
      <c r="I112" s="256" t="str">
        <f>IF(OR(Table_7_UK!J8=0,Table_7_UK!L8&gt;0),"","Head "&amp;Table_7_UK!A8&amp;" ("&amp;J112&amp;")")</f>
        <v/>
      </c>
      <c r="J112" s="257" t="str">
        <f>Table_7_UK!J8&amp;", "&amp;Table_7_UK!L8</f>
        <v>3636, 277</v>
      </c>
      <c r="K112" s="192">
        <f t="shared" si="4"/>
        <v>0</v>
      </c>
      <c r="L112" s="192">
        <f t="shared" si="5"/>
        <v>0</v>
      </c>
      <c r="M112" s="25"/>
      <c r="N112" s="25"/>
    </row>
    <row r="113" spans="1:14" customFormat="1" ht="30.5" customHeight="1" x14ac:dyDescent="0.35">
      <c r="A113" s="262" t="s">
        <v>411</v>
      </c>
      <c r="B113" s="671" t="s">
        <v>412</v>
      </c>
      <c r="C113" s="671"/>
      <c r="D113" s="671"/>
      <c r="E113" s="672" t="str">
        <f>Table_7_UK!$A$1&amp;" Head "&amp;Table_7_UK!A9&amp;" ("&amp;Table_7_UK!J3&amp;")"&amp;", "&amp;Table_7_UK!$A$1&amp;" Head "&amp;Table_7_UK!A9&amp;" ("&amp;Table_7_UK!L3&amp;")"</f>
        <v>Table 7: Head 1d (Total staff costs), Table 7: Head 1d (Other operating expenses)</v>
      </c>
      <c r="F113" s="672"/>
      <c r="G113" s="254" t="s">
        <v>238</v>
      </c>
      <c r="H113" s="255" t="str">
        <f>IF(OR(Table_7_UK!J9=0,Table_7_UK!L9&gt;0),"PASS","FAIL")</f>
        <v>PASS</v>
      </c>
      <c r="I113" s="256" t="str">
        <f>IF(OR(Table_7_UK!J9=0,Table_7_UK!L9&gt;0),"","Head "&amp;Table_7_UK!A9&amp;" ("&amp;J113&amp;")")</f>
        <v/>
      </c>
      <c r="J113" s="257" t="str">
        <f>Table_7_UK!J9&amp;", "&amp;Table_7_UK!L9</f>
        <v>10670, 82</v>
      </c>
      <c r="K113" s="192">
        <f t="shared" si="4"/>
        <v>0</v>
      </c>
      <c r="L113" s="192">
        <f t="shared" si="5"/>
        <v>0</v>
      </c>
      <c r="M113" s="25"/>
      <c r="N113" s="25"/>
    </row>
    <row r="114" spans="1:14" customFormat="1" ht="30.5" customHeight="1" x14ac:dyDescent="0.35">
      <c r="A114" s="262" t="s">
        <v>413</v>
      </c>
      <c r="B114" s="671" t="s">
        <v>414</v>
      </c>
      <c r="C114" s="671"/>
      <c r="D114" s="671"/>
      <c r="E114" s="672" t="str">
        <f>Table_7_UK!$A$1&amp;" Head "&amp;Table_7_UK!A10&amp;" ("&amp;Table_7_UK!J3&amp;")"&amp;", "&amp;Table_7_UK!$A$1&amp;" Head "&amp;Table_7_UK!A10&amp;" ("&amp;Table_7_UK!L3&amp;")"</f>
        <v>Table 7: Head 1e (Total staff costs), Table 7: Head 1e (Other operating expenses)</v>
      </c>
      <c r="F114" s="672"/>
      <c r="G114" s="254" t="s">
        <v>238</v>
      </c>
      <c r="H114" s="255" t="str">
        <f>IF(OR(Table_7_UK!J10=0,Table_7_UK!L10&gt;0),"PASS","FAIL")</f>
        <v>PASS</v>
      </c>
      <c r="I114" s="256" t="str">
        <f>IF(OR(Table_7_UK!J10=0,Table_7_UK!L10&gt;0),"","Head "&amp;Table_7_UK!A10&amp;" ("&amp;J114&amp;")")</f>
        <v/>
      </c>
      <c r="J114" s="257" t="str">
        <f>Table_7_UK!J10&amp;", "&amp;Table_7_UK!L10</f>
        <v>0, 0</v>
      </c>
      <c r="K114" s="192">
        <f t="shared" si="4"/>
        <v>0</v>
      </c>
      <c r="L114" s="192">
        <f t="shared" si="5"/>
        <v>0</v>
      </c>
      <c r="M114" s="25"/>
      <c r="N114" s="25"/>
    </row>
    <row r="115" spans="1:14" customFormat="1" ht="30.5" customHeight="1" x14ac:dyDescent="0.35">
      <c r="A115" s="262" t="s">
        <v>415</v>
      </c>
      <c r="B115" s="671" t="s">
        <v>416</v>
      </c>
      <c r="C115" s="671"/>
      <c r="D115" s="671"/>
      <c r="E115" s="672" t="str">
        <f>Table_7_UK!$A$1&amp;" Head "&amp;Table_7_UK!A11&amp;" ("&amp;Table_7_UK!J3&amp;")"&amp;", "&amp;Table_7_UK!$A$1&amp;" Head "&amp;Table_7_UK!A11&amp;" ("&amp;Table_7_UK!L3&amp;")"</f>
        <v>Table 7: Head 1f (Total staff costs), Table 7: Head 1f (Other operating expenses)</v>
      </c>
      <c r="F115" s="672"/>
      <c r="G115" s="254" t="s">
        <v>238</v>
      </c>
      <c r="H115" s="255" t="str">
        <f>IF(OR(Table_7_UK!J11=0,Table_7_UK!L11&gt;0),"PASS","FAIL")</f>
        <v>PASS</v>
      </c>
      <c r="I115" s="256" t="str">
        <f>IF(OR(Table_7_UK!J11=0,Table_7_UK!L11&gt;0),"","Head "&amp;Table_7_UK!A11&amp;" ("&amp;J115&amp;")")</f>
        <v/>
      </c>
      <c r="J115" s="257" t="str">
        <f>Table_7_UK!J11&amp;", "&amp;Table_7_UK!L11</f>
        <v>0, 0</v>
      </c>
      <c r="K115" s="192">
        <f t="shared" si="4"/>
        <v>0</v>
      </c>
      <c r="L115" s="192">
        <f t="shared" si="5"/>
        <v>0</v>
      </c>
      <c r="M115" s="25"/>
      <c r="N115" s="25"/>
    </row>
    <row r="116" spans="1:14" customFormat="1" ht="30.5" customHeight="1" x14ac:dyDescent="0.35">
      <c r="A116" s="262" t="s">
        <v>417</v>
      </c>
      <c r="B116" s="671" t="s">
        <v>418</v>
      </c>
      <c r="C116" s="671"/>
      <c r="D116" s="671"/>
      <c r="E116" s="672" t="str">
        <f>Table_7_UK!$A$1&amp;" Head "&amp;Table_7_UK!A12&amp;" ("&amp;Table_7_UK!J3&amp;")"&amp;", "&amp;Table_7_UK!$A$1&amp;" Head "&amp;Table_7_UK!A12&amp;" ("&amp;Table_7_UK!L3&amp;")"</f>
        <v>Table 7: Head 1g (Total staff costs), Table 7: Head 1g (Other operating expenses)</v>
      </c>
      <c r="F116" s="672"/>
      <c r="G116" s="254" t="s">
        <v>238</v>
      </c>
      <c r="H116" s="255" t="str">
        <f>IF(OR(Table_7_UK!J12=0,Table_7_UK!L12&gt;0),"PASS","FAIL")</f>
        <v>PASS</v>
      </c>
      <c r="I116" s="256" t="str">
        <f>IF(OR(Table_7_UK!J12=0,Table_7_UK!L12&gt;0),"","Head "&amp;Table_7_UK!A12&amp;" ("&amp;J116&amp;")")</f>
        <v/>
      </c>
      <c r="J116" s="257" t="str">
        <f>Table_7_UK!J12&amp;", "&amp;Table_7_UK!L12</f>
        <v>0, 0</v>
      </c>
      <c r="K116" s="192">
        <f t="shared" si="4"/>
        <v>0</v>
      </c>
      <c r="L116" s="192">
        <f t="shared" si="5"/>
        <v>0</v>
      </c>
      <c r="M116" s="25"/>
      <c r="N116" s="25"/>
    </row>
    <row r="117" spans="1:14" customFormat="1" ht="30.5" customHeight="1" x14ac:dyDescent="0.35">
      <c r="A117" s="262" t="s">
        <v>419</v>
      </c>
      <c r="B117" s="671" t="s">
        <v>420</v>
      </c>
      <c r="C117" s="671"/>
      <c r="D117" s="671"/>
      <c r="E117" s="672" t="str">
        <f>Table_7_UK!$A$1&amp;" Head "&amp;Table_7_UK!A13&amp;" ("&amp;Table_7_UK!J3&amp;")"&amp;", "&amp;Table_7_UK!$A$1&amp;" Head "&amp;Table_7_UK!A13&amp;" ("&amp;Table_7_UK!L3&amp;")"</f>
        <v>Table 7: Head 1h (Total staff costs), Table 7: Head 1h (Other operating expenses)</v>
      </c>
      <c r="F117" s="672"/>
      <c r="G117" s="254" t="s">
        <v>238</v>
      </c>
      <c r="H117" s="255" t="str">
        <f>IF(OR(Table_7_UK!J13=0,Table_7_UK!L13&gt;0),"PASS","FAIL")</f>
        <v>PASS</v>
      </c>
      <c r="I117" s="256" t="str">
        <f>IF(OR(Table_7_UK!J13=0,Table_7_UK!L13&gt;0),"","Head "&amp;Table_7_UK!A13&amp;" ("&amp;J117&amp;")")</f>
        <v/>
      </c>
      <c r="J117" s="257" t="str">
        <f>Table_7_UK!J13&amp;", "&amp;Table_7_UK!L13</f>
        <v>0, 0</v>
      </c>
      <c r="K117" s="192">
        <f t="shared" si="4"/>
        <v>0</v>
      </c>
      <c r="L117" s="192">
        <f t="shared" si="5"/>
        <v>0</v>
      </c>
      <c r="M117" s="25"/>
      <c r="N117" s="25"/>
    </row>
    <row r="118" spans="1:14" customFormat="1" ht="30.5" customHeight="1" x14ac:dyDescent="0.35">
      <c r="A118" s="262" t="s">
        <v>421</v>
      </c>
      <c r="B118" s="671" t="s">
        <v>422</v>
      </c>
      <c r="C118" s="671"/>
      <c r="D118" s="671"/>
      <c r="E118" s="672" t="str">
        <f>Table_7_UK!$A$1&amp;" Head "&amp;Table_7_UK!A14&amp;" ("&amp;Table_7_UK!J3&amp;")"&amp;", "&amp;Table_7_UK!$A$1&amp;" Head "&amp;Table_7_UK!A14&amp;" ("&amp;Table_7_UK!L3&amp;")"</f>
        <v>Table 7: Head 1i (Total staff costs), Table 7: Head 1i (Other operating expenses)</v>
      </c>
      <c r="F118" s="672"/>
      <c r="G118" s="254" t="s">
        <v>238</v>
      </c>
      <c r="H118" s="255" t="str">
        <f>IF(OR(Table_7_UK!J14=0,Table_7_UK!L14&gt;0),"PASS","FAIL")</f>
        <v>PASS</v>
      </c>
      <c r="I118" s="256" t="str">
        <f>IF(OR(Table_7_UK!J14=0,Table_7_UK!L14&gt;0),"","Head "&amp;Table_7_UK!A14&amp;" ("&amp;J118&amp;")")</f>
        <v/>
      </c>
      <c r="J118" s="257" t="str">
        <f>Table_7_UK!J14&amp;", "&amp;Table_7_UK!L14</f>
        <v>40972, 13414</v>
      </c>
      <c r="K118" s="192">
        <f t="shared" si="4"/>
        <v>0</v>
      </c>
      <c r="L118" s="192">
        <f t="shared" si="5"/>
        <v>0</v>
      </c>
      <c r="M118" s="25"/>
      <c r="N118" s="25"/>
    </row>
    <row r="119" spans="1:14" customFormat="1" ht="30.5" customHeight="1" x14ac:dyDescent="0.35">
      <c r="A119" s="262" t="s">
        <v>423</v>
      </c>
      <c r="B119" s="671" t="s">
        <v>424</v>
      </c>
      <c r="C119" s="671"/>
      <c r="D119" s="671"/>
      <c r="E119" s="672" t="str">
        <f>Table_7_UK!$A$1&amp;" Head "&amp;Table_7_UK!A15&amp;" ("&amp;Table_7_UK!J3&amp;")"&amp;", "&amp;Table_7_UK!$A$1&amp;" Head "&amp;Table_7_UK!A15&amp;" ("&amp;Table_7_UK!L3&amp;")"</f>
        <v>Table 7: Head 1j (Total staff costs), Table 7: Head 1j (Other operating expenses)</v>
      </c>
      <c r="F119" s="672"/>
      <c r="G119" s="254" t="s">
        <v>238</v>
      </c>
      <c r="H119" s="255" t="str">
        <f>IF(OR(Table_7_UK!J15=0,Table_7_UK!L15&gt;0),"PASS","FAIL")</f>
        <v>PASS</v>
      </c>
      <c r="I119" s="256" t="str">
        <f>IF(OR(Table_7_UK!J15=0,Table_7_UK!L15&gt;0),"","Head "&amp;Table_7_UK!A15&amp;" ("&amp;J119&amp;")")</f>
        <v/>
      </c>
      <c r="J119" s="257" t="str">
        <f>Table_7_UK!J15&amp;", "&amp;Table_7_UK!L15</f>
        <v>0, 0</v>
      </c>
      <c r="K119" s="192">
        <f t="shared" si="4"/>
        <v>0</v>
      </c>
      <c r="L119" s="192">
        <f t="shared" si="5"/>
        <v>0</v>
      </c>
      <c r="M119" s="25"/>
      <c r="N119" s="25"/>
    </row>
    <row r="120" spans="1:14" customFormat="1" ht="30.5" customHeight="1" x14ac:dyDescent="0.35">
      <c r="A120" s="262" t="s">
        <v>425</v>
      </c>
      <c r="B120" s="671" t="s">
        <v>426</v>
      </c>
      <c r="C120" s="671"/>
      <c r="D120" s="671"/>
      <c r="E120" s="672" t="str">
        <f>Table_7_UK!$A$1&amp;" Head "&amp;Table_7_UK!A16&amp;" ("&amp;Table_7_UK!J3&amp;")"&amp;", "&amp;Table_7_UK!$A$1&amp;" Head "&amp;Table_7_UK!A16&amp;" ("&amp;Table_7_UK!L3&amp;")"</f>
        <v>Table 7: Head 1k (Total staff costs), Table 7: Head 1k (Other operating expenses)</v>
      </c>
      <c r="F120" s="672"/>
      <c r="G120" s="254" t="s">
        <v>238</v>
      </c>
      <c r="H120" s="255" t="str">
        <f>IF(OR(Table_7_UK!J16=0,Table_7_UK!L16&gt;0),"PASS","FAIL")</f>
        <v>PASS</v>
      </c>
      <c r="I120" s="256" t="str">
        <f>IF(OR(Table_7_UK!J16=0,Table_7_UK!L16&gt;0),"","Head "&amp;Table_7_UK!A16&amp;" ("&amp;J120&amp;")")</f>
        <v/>
      </c>
      <c r="J120" s="257" t="str">
        <f>Table_7_UK!J16&amp;", "&amp;Table_7_UK!L16</f>
        <v>14547, 4335</v>
      </c>
      <c r="K120" s="192">
        <f t="shared" ref="K120:K151" si="6">IF(AND(G120="Error",H120="FAIL"),1,0)</f>
        <v>0</v>
      </c>
      <c r="L120" s="192">
        <f t="shared" ref="L120:L151" si="7">IF(AND(G120="Warning",H120="FAIL"),1,0)</f>
        <v>0</v>
      </c>
      <c r="M120" s="25"/>
      <c r="N120" s="25"/>
    </row>
    <row r="121" spans="1:14" customFormat="1" ht="30.5" customHeight="1" x14ac:dyDescent="0.35">
      <c r="A121" s="262" t="s">
        <v>427</v>
      </c>
      <c r="B121" s="671" t="s">
        <v>428</v>
      </c>
      <c r="C121" s="671"/>
      <c r="D121" s="671"/>
      <c r="E121" s="672" t="str">
        <f>Table_7_UK!$A$1&amp;" Head "&amp;Table_7_UK!A17&amp;" ("&amp;Table_7_UK!J3&amp;")"&amp;", "&amp;Table_7_UK!$A$1&amp;" Head "&amp;Table_7_UK!A17&amp;" ("&amp;Table_7_UK!L3&amp;")"</f>
        <v>Table 7: Head 1l (Total staff costs), Table 7: Head 1l (Other operating expenses)</v>
      </c>
      <c r="F121" s="672"/>
      <c r="G121" s="254" t="s">
        <v>238</v>
      </c>
      <c r="H121" s="255" t="str">
        <f>IF(OR(Table_7_UK!J17=0,Table_7_UK!L17&gt;0),"PASS","FAIL")</f>
        <v>PASS</v>
      </c>
      <c r="I121" s="256" t="str">
        <f>IF(OR(Table_7_UK!J17=0,Table_7_UK!L17&gt;0),"","Head "&amp;Table_7_UK!A17&amp;" ("&amp;J121&amp;")")</f>
        <v/>
      </c>
      <c r="J121" s="257" t="str">
        <f>Table_7_UK!J17&amp;", "&amp;Table_7_UK!L17</f>
        <v>37797, 20496</v>
      </c>
      <c r="K121" s="192">
        <f t="shared" si="6"/>
        <v>0</v>
      </c>
      <c r="L121" s="192">
        <f t="shared" si="7"/>
        <v>0</v>
      </c>
      <c r="M121" s="25"/>
      <c r="N121" s="25"/>
    </row>
    <row r="122" spans="1:14" customFormat="1" ht="30.5" customHeight="1" x14ac:dyDescent="0.35">
      <c r="A122" s="262" t="s">
        <v>429</v>
      </c>
      <c r="B122" s="671" t="s">
        <v>430</v>
      </c>
      <c r="C122" s="671"/>
      <c r="D122" s="671"/>
      <c r="E122" s="672" t="str">
        <f>Table_7_UK!$A$1&amp;" Head "&amp;Table_7_UK!A18&amp;" ("&amp;Table_7_UK!J3&amp;")"&amp;", "&amp;Table_7_UK!$A$1&amp;" Head "&amp;Table_7_UK!A18&amp;" ("&amp;Table_7_UK!L3&amp;")"</f>
        <v>Table 7: Head 1m (Total staff costs), Table 7: Head 1m (Other operating expenses)</v>
      </c>
      <c r="F122" s="672"/>
      <c r="G122" s="254" t="s">
        <v>238</v>
      </c>
      <c r="H122" s="255" t="str">
        <f>IF(OR(Table_7_UK!J18=0,Table_7_UK!L18&gt;0),"PASS","FAIL")</f>
        <v>PASS</v>
      </c>
      <c r="I122" s="256" t="str">
        <f>IF(OR(Table_7_UK!J18=0,Table_7_UK!L18&gt;0),"","Head "&amp;Table_7_UK!A18&amp;" ("&amp;J122&amp;")")</f>
        <v/>
      </c>
      <c r="J122" s="257" t="str">
        <f>Table_7_UK!J18&amp;", "&amp;Table_7_UK!L18</f>
        <v>3311, 4248</v>
      </c>
      <c r="K122" s="192">
        <f t="shared" si="6"/>
        <v>0</v>
      </c>
      <c r="L122" s="192">
        <f t="shared" si="7"/>
        <v>0</v>
      </c>
      <c r="M122" s="25"/>
      <c r="N122" s="25"/>
    </row>
    <row r="123" spans="1:14" customFormat="1" ht="30.5" customHeight="1" x14ac:dyDescent="0.35">
      <c r="A123" s="262" t="s">
        <v>431</v>
      </c>
      <c r="B123" s="671" t="s">
        <v>432</v>
      </c>
      <c r="C123" s="671"/>
      <c r="D123" s="671"/>
      <c r="E123" s="672" t="str">
        <f>Table_7_UK!$A$1&amp;" Head "&amp;Table_7_UK!A19&amp;" ("&amp;Table_7_UK!J3&amp;")"&amp;", "&amp;Table_7_UK!$A$1&amp;" Head "&amp;Table_7_UK!A19&amp;" ("&amp;Table_7_UK!L3&amp;")"</f>
        <v>Table 7: Head 1n (Total staff costs), Table 7: Head 1n (Other operating expenses)</v>
      </c>
      <c r="F123" s="672"/>
      <c r="G123" s="254" t="s">
        <v>238</v>
      </c>
      <c r="H123" s="255" t="str">
        <f>IF(OR(Table_7_UK!J19=0,Table_7_UK!L19&gt;0),"PASS","FAIL")</f>
        <v>PASS</v>
      </c>
      <c r="I123" s="256" t="str">
        <f>IF(OR(Table_7_UK!J19=0,Table_7_UK!L19&gt;0),"","Head "&amp;Table_7_UK!A19&amp;" ("&amp;J123&amp;")")</f>
        <v/>
      </c>
      <c r="J123" s="257" t="str">
        <f>Table_7_UK!J19&amp;", "&amp;Table_7_UK!L19</f>
        <v>21648, 18120</v>
      </c>
      <c r="K123" s="192">
        <f t="shared" si="6"/>
        <v>0</v>
      </c>
      <c r="L123" s="192">
        <f t="shared" si="7"/>
        <v>0</v>
      </c>
      <c r="M123" s="25"/>
      <c r="N123" s="25"/>
    </row>
    <row r="124" spans="1:14" customFormat="1" ht="30.5" customHeight="1" x14ac:dyDescent="0.35">
      <c r="A124" s="262" t="s">
        <v>433</v>
      </c>
      <c r="B124" s="671" t="s">
        <v>434</v>
      </c>
      <c r="C124" s="671"/>
      <c r="D124" s="671"/>
      <c r="E124" s="672" t="str">
        <f>Table_7_UK!$A$1&amp;" Head "&amp;Table_7_UK!A20&amp;" ("&amp;Table_7_UK!J3&amp;")"&amp;", "&amp;Table_7_UK!$A$1&amp;" Head "&amp;Table_7_UK!A20&amp;" ("&amp;Table_7_UK!L3&amp;")"</f>
        <v>Table 7: Head 1o (Total staff costs), Table 7: Head 1o (Other operating expenses)</v>
      </c>
      <c r="F124" s="672"/>
      <c r="G124" s="254" t="s">
        <v>238</v>
      </c>
      <c r="H124" s="255" t="str">
        <f>IF(OR(Table_7_UK!J20=0,Table_7_UK!L20&gt;0),"PASS","FAIL")</f>
        <v>PASS</v>
      </c>
      <c r="I124" s="256" t="str">
        <f>IF(OR(Table_7_UK!J20=0,Table_7_UK!L20&gt;0),"","Head "&amp;Table_7_UK!A20&amp;" ("&amp;J124&amp;")")</f>
        <v/>
      </c>
      <c r="J124" s="257" t="str">
        <f>Table_7_UK!J20&amp;", "&amp;Table_7_UK!L20</f>
        <v>939, 138</v>
      </c>
      <c r="K124" s="192">
        <f t="shared" si="6"/>
        <v>0</v>
      </c>
      <c r="L124" s="192">
        <f t="shared" si="7"/>
        <v>0</v>
      </c>
      <c r="M124" s="25"/>
      <c r="N124" s="25"/>
    </row>
    <row r="125" spans="1:14" customFormat="1" ht="30.5" customHeight="1" x14ac:dyDescent="0.35">
      <c r="A125" s="262" t="s">
        <v>435</v>
      </c>
      <c r="B125" s="671" t="s">
        <v>436</v>
      </c>
      <c r="C125" s="671"/>
      <c r="D125" s="671"/>
      <c r="E125" s="672" t="str">
        <f>Table_7_UK!$A$1&amp;" Head "&amp;Table_7_UK!A21&amp;" ("&amp;Table_7_UK!J3&amp;")"&amp;", "&amp;Table_7_UK!$A$1&amp;" Head "&amp;Table_7_UK!A21&amp;" ("&amp;Table_7_UK!L3&amp;")"</f>
        <v>Table 7: Head 1p (Total staff costs), Table 7: Head 1p (Other operating expenses)</v>
      </c>
      <c r="F125" s="672"/>
      <c r="G125" s="254" t="s">
        <v>238</v>
      </c>
      <c r="H125" s="255" t="str">
        <f>IF(OR(Table_7_UK!J21=0,Table_7_UK!L21&gt;0),"PASS","FAIL")</f>
        <v>PASS</v>
      </c>
      <c r="I125" s="256" t="str">
        <f>IF(OR(Table_7_UK!J21=0,Table_7_UK!L21&gt;0),"","Head "&amp;Table_7_UK!A21&amp;" ("&amp;J125&amp;")")</f>
        <v/>
      </c>
      <c r="J125" s="257" t="str">
        <f>Table_7_UK!J21&amp;", "&amp;Table_7_UK!L21</f>
        <v>833, 1719</v>
      </c>
      <c r="K125" s="192">
        <f t="shared" si="6"/>
        <v>0</v>
      </c>
      <c r="L125" s="192">
        <f t="shared" si="7"/>
        <v>0</v>
      </c>
      <c r="M125" s="25"/>
      <c r="N125" s="25"/>
    </row>
    <row r="126" spans="1:14" customFormat="1" ht="30.5" customHeight="1" x14ac:dyDescent="0.35">
      <c r="A126" s="262" t="s">
        <v>437</v>
      </c>
      <c r="B126" s="671" t="s">
        <v>438</v>
      </c>
      <c r="C126" s="671"/>
      <c r="D126" s="671"/>
      <c r="E126" s="672" t="str">
        <f>Table_7_UK!$A$1&amp;" Head "&amp;Table_7_UK!A22&amp;" ("&amp;Table_7_UK!J3&amp;")"&amp;", "&amp;Table_7_UK!$A$1&amp;" Head "&amp;Table_7_UK!A22&amp;" ("&amp;Table_7_UK!L3&amp;")"</f>
        <v>Table 7: Head 1q (Total staff costs), Table 7: Head 1q (Other operating expenses)</v>
      </c>
      <c r="F126" s="672"/>
      <c r="G126" s="254" t="s">
        <v>238</v>
      </c>
      <c r="H126" s="255" t="str">
        <f>IF(OR(Table_7_UK!J22=0,Table_7_UK!L22&gt;0),"PASS","FAIL")</f>
        <v>PASS</v>
      </c>
      <c r="I126" s="256" t="str">
        <f>IF(OR(Table_7_UK!J22=0,Table_7_UK!L22&gt;0),"","Head "&amp;Table_7_UK!A22&amp;" ("&amp;J126&amp;")")</f>
        <v/>
      </c>
      <c r="J126" s="257" t="str">
        <f>Table_7_UK!J22&amp;", "&amp;Table_7_UK!L22</f>
        <v>0, 0</v>
      </c>
      <c r="K126" s="192">
        <f t="shared" si="6"/>
        <v>0</v>
      </c>
      <c r="L126" s="192">
        <f t="shared" si="7"/>
        <v>0</v>
      </c>
      <c r="M126" s="25"/>
      <c r="N126" s="25"/>
    </row>
    <row r="127" spans="1:14" customFormat="1" ht="30.5" customHeight="1" x14ac:dyDescent="0.35">
      <c r="A127" s="262" t="s">
        <v>439</v>
      </c>
      <c r="B127" s="671" t="s">
        <v>440</v>
      </c>
      <c r="C127" s="671"/>
      <c r="D127" s="671"/>
      <c r="E127" s="672" t="str">
        <f>Table_7_UK!$A$1&amp;" Head "&amp;Table_7_UK!A23&amp;" ("&amp;Table_7_UK!J3&amp;")"&amp;", "&amp;Table_7_UK!$A$1&amp;" Head "&amp;Table_7_UK!A23&amp;" ("&amp;Table_7_UK!L3&amp;")"</f>
        <v>Table 7: Head 1r (Total staff costs), Table 7: Head 1r (Other operating expenses)</v>
      </c>
      <c r="F127" s="672"/>
      <c r="G127" s="254" t="s">
        <v>238</v>
      </c>
      <c r="H127" s="255" t="str">
        <f>IF(OR(Table_7_UK!J23=0,Table_7_UK!L23&gt;0),"PASS","FAIL")</f>
        <v>PASS</v>
      </c>
      <c r="I127" s="256" t="str">
        <f>IF(OR(Table_7_UK!J23=0,Table_7_UK!L23&gt;0),"","Head "&amp;Table_7_UK!A23&amp;" ("&amp;J127&amp;")")</f>
        <v/>
      </c>
      <c r="J127" s="257" t="str">
        <f>Table_7_UK!J23&amp;", "&amp;Table_7_UK!L23</f>
        <v>13313, 3563</v>
      </c>
      <c r="K127" s="192">
        <f t="shared" si="6"/>
        <v>0</v>
      </c>
      <c r="L127" s="192">
        <f t="shared" si="7"/>
        <v>0</v>
      </c>
      <c r="M127" s="25"/>
      <c r="N127" s="25"/>
    </row>
    <row r="128" spans="1:14" customFormat="1" ht="30.5" customHeight="1" x14ac:dyDescent="0.35">
      <c r="A128" s="262" t="s">
        <v>441</v>
      </c>
      <c r="B128" s="671" t="s">
        <v>442</v>
      </c>
      <c r="C128" s="671"/>
      <c r="D128" s="671"/>
      <c r="E128" s="672" t="str">
        <f>Table_7_UK!$A$1&amp;" Head "&amp;Table_7_UK!A24&amp;" ("&amp;Table_7_UK!J3&amp;")"&amp;", "&amp;Table_7_UK!$A$1&amp;" Head "&amp;Table_7_UK!A24&amp;" ("&amp;Table_7_UK!L3&amp;")"</f>
        <v>Table 7: Head 1s (Total staff costs), Table 7: Head 1s (Other operating expenses)</v>
      </c>
      <c r="F128" s="672"/>
      <c r="G128" s="254" t="s">
        <v>238</v>
      </c>
      <c r="H128" s="255" t="str">
        <f>IF(OR(Table_7_UK!J24=0,Table_7_UK!L24&gt;0),"PASS","FAIL")</f>
        <v>PASS</v>
      </c>
      <c r="I128" s="256" t="str">
        <f>IF(OR(Table_7_UK!J24=0,Table_7_UK!L24&gt;0),"","Head "&amp;Table_7_UK!A24&amp;" ("&amp;J128&amp;")")</f>
        <v/>
      </c>
      <c r="J128" s="257" t="str">
        <f>Table_7_UK!J24&amp;", "&amp;Table_7_UK!L24</f>
        <v>4488, 2768</v>
      </c>
      <c r="K128" s="192">
        <f t="shared" si="6"/>
        <v>0</v>
      </c>
      <c r="L128" s="192">
        <f t="shared" si="7"/>
        <v>0</v>
      </c>
      <c r="M128" s="25"/>
      <c r="N128" s="25"/>
    </row>
    <row r="129" spans="1:14" customFormat="1" ht="30.5" customHeight="1" x14ac:dyDescent="0.35">
      <c r="A129" s="262" t="s">
        <v>443</v>
      </c>
      <c r="B129" s="671" t="s">
        <v>444</v>
      </c>
      <c r="C129" s="671"/>
      <c r="D129" s="671"/>
      <c r="E129" s="672" t="str">
        <f>Table_7_UK!$A$1&amp;" Head "&amp;Table_7_UK!A25&amp;" ("&amp;Table_7_UK!J3&amp;")"&amp;", "&amp;Table_7_UK!$A$1&amp;" Head "&amp;Table_7_UK!A25&amp;" ("&amp;Table_7_UK!L3&amp;")"</f>
        <v>Table 7: Head 1t (Total staff costs), Table 7: Head 1t (Other operating expenses)</v>
      </c>
      <c r="F129" s="672"/>
      <c r="G129" s="254" t="s">
        <v>238</v>
      </c>
      <c r="H129" s="255" t="str">
        <f>IF(OR(Table_7_UK!J25=0,Table_7_UK!L25&gt;0),"PASS","FAIL")</f>
        <v>PASS</v>
      </c>
      <c r="I129" s="256" t="str">
        <f>IF(OR(Table_7_UK!J25=0,Table_7_UK!L25&gt;0),"","Head "&amp;Table_7_UK!A25&amp;" ("&amp;J129&amp;")")</f>
        <v/>
      </c>
      <c r="J129" s="257" t="str">
        <f>Table_7_UK!J25&amp;", "&amp;Table_7_UK!L25</f>
        <v>2995, 1811</v>
      </c>
      <c r="K129" s="192">
        <f t="shared" si="6"/>
        <v>0</v>
      </c>
      <c r="L129" s="192">
        <f t="shared" si="7"/>
        <v>0</v>
      </c>
      <c r="M129" s="25"/>
      <c r="N129" s="25"/>
    </row>
    <row r="130" spans="1:14" customFormat="1" ht="30.5" customHeight="1" x14ac:dyDescent="0.35">
      <c r="A130" s="262" t="s">
        <v>445</v>
      </c>
      <c r="B130" s="671" t="s">
        <v>446</v>
      </c>
      <c r="C130" s="671"/>
      <c r="D130" s="671"/>
      <c r="E130" s="672" t="str">
        <f>Table_7_UK!$A$1&amp;" Head "&amp;Table_7_UK!A26&amp;" ("&amp;Table_7_UK!J3&amp;")"&amp;", "&amp;Table_7_UK!$A$1&amp;" Head "&amp;Table_7_UK!A26&amp;" ("&amp;Table_7_UK!L3&amp;")"</f>
        <v>Table 7: Head 1u (Total staff costs), Table 7: Head 1u (Other operating expenses)</v>
      </c>
      <c r="F130" s="672"/>
      <c r="G130" s="254" t="s">
        <v>238</v>
      </c>
      <c r="H130" s="255" t="str">
        <f>IF(OR(Table_7_UK!J26=0,Table_7_UK!L26&gt;0),"PASS","FAIL")</f>
        <v>PASS</v>
      </c>
      <c r="I130" s="256" t="str">
        <f>IF(OR(Table_7_UK!J26=0,Table_7_UK!L26&gt;0),"","Head "&amp;Table_7_UK!A26&amp;" ("&amp;J130&amp;")")</f>
        <v/>
      </c>
      <c r="J130" s="257" t="str">
        <f>Table_7_UK!J26&amp;", "&amp;Table_7_UK!L26</f>
        <v>22676, 9290</v>
      </c>
      <c r="K130" s="192">
        <f t="shared" si="6"/>
        <v>0</v>
      </c>
      <c r="L130" s="192">
        <f t="shared" si="7"/>
        <v>0</v>
      </c>
      <c r="M130" s="25"/>
      <c r="N130" s="25"/>
    </row>
    <row r="131" spans="1:14" customFormat="1" ht="30.5" customHeight="1" x14ac:dyDescent="0.35">
      <c r="A131" s="262" t="s">
        <v>447</v>
      </c>
      <c r="B131" s="671" t="s">
        <v>448</v>
      </c>
      <c r="C131" s="671"/>
      <c r="D131" s="671"/>
      <c r="E131" s="672" t="str">
        <f>Table_7_UK!$A$1&amp;" Head "&amp;Table_7_UK!A27&amp;" ("&amp;Table_7_UK!J3&amp;")"&amp;", "&amp;Table_7_UK!$A$1&amp;" Head "&amp;Table_7_UK!A27&amp;" ("&amp;Table_7_UK!L3&amp;")"</f>
        <v>Table 7: Head 1v (Total staff costs), Table 7: Head 1v (Other operating expenses)</v>
      </c>
      <c r="F131" s="672"/>
      <c r="G131" s="254" t="s">
        <v>238</v>
      </c>
      <c r="H131" s="255" t="str">
        <f>IF(OR(Table_7_UK!J27=0,Table_7_UK!L27&gt;0),"PASS","FAIL")</f>
        <v>PASS</v>
      </c>
      <c r="I131" s="256" t="str">
        <f>IF(OR(Table_7_UK!J27=0,Table_7_UK!L27&gt;0),"","Head "&amp;Table_7_UK!A27&amp;" ("&amp;J131&amp;")")</f>
        <v/>
      </c>
      <c r="J131" s="257" t="str">
        <f>Table_7_UK!J27&amp;", "&amp;Table_7_UK!L27</f>
        <v>13120, 5206</v>
      </c>
      <c r="K131" s="192">
        <f t="shared" si="6"/>
        <v>0</v>
      </c>
      <c r="L131" s="192">
        <f t="shared" si="7"/>
        <v>0</v>
      </c>
      <c r="M131" s="25"/>
      <c r="N131" s="25"/>
    </row>
    <row r="132" spans="1:14" customFormat="1" ht="30.5" customHeight="1" x14ac:dyDescent="0.35">
      <c r="A132" s="262" t="s">
        <v>449</v>
      </c>
      <c r="B132" s="671" t="s">
        <v>450</v>
      </c>
      <c r="C132" s="671"/>
      <c r="D132" s="671"/>
      <c r="E132" s="672" t="str">
        <f>Table_7_UK!$A$1&amp;" Head "&amp;Table_7_UK!A28&amp;" ("&amp;Table_7_UK!J3&amp;")"&amp;", "&amp;Table_7_UK!$A$1&amp;" Head "&amp;Table_7_UK!A28&amp;" ("&amp;Table_7_UK!L3&amp;")"</f>
        <v>Table 7: Head 1w (Total staff costs), Table 7: Head 1w (Other operating expenses)</v>
      </c>
      <c r="F132" s="672"/>
      <c r="G132" s="254" t="s">
        <v>238</v>
      </c>
      <c r="H132" s="255" t="str">
        <f>IF(OR(Table_7_UK!J28=0,Table_7_UK!L28&gt;0),"PASS","FAIL")</f>
        <v>PASS</v>
      </c>
      <c r="I132" s="256" t="str">
        <f>IF(OR(Table_7_UK!J28=0,Table_7_UK!L28&gt;0),"","Head "&amp;Table_7_UK!A28&amp;" ("&amp;J132&amp;")")</f>
        <v/>
      </c>
      <c r="J132" s="257" t="str">
        <f>Table_7_UK!J28&amp;", "&amp;Table_7_UK!L28</f>
        <v>5844, 411</v>
      </c>
      <c r="K132" s="192">
        <f t="shared" si="6"/>
        <v>0</v>
      </c>
      <c r="L132" s="192">
        <f t="shared" si="7"/>
        <v>0</v>
      </c>
      <c r="M132" s="25"/>
      <c r="N132" s="25"/>
    </row>
    <row r="133" spans="1:14" customFormat="1" ht="30.5" customHeight="1" x14ac:dyDescent="0.35">
      <c r="A133" s="262" t="s">
        <v>451</v>
      </c>
      <c r="B133" s="671" t="s">
        <v>452</v>
      </c>
      <c r="C133" s="671"/>
      <c r="D133" s="671"/>
      <c r="E133" s="672" t="str">
        <f>Table_7_UK!$A$1&amp;" Head "&amp;Table_7_UK!A29&amp;" ("&amp;Table_7_UK!J3&amp;")"&amp;", "&amp;Table_7_UK!$A$1&amp;" Head "&amp;Table_7_UK!A29&amp;" ("&amp;Table_7_UK!L3&amp;")"</f>
        <v>Table 7: Head 1x (Total staff costs), Table 7: Head 1x (Other operating expenses)</v>
      </c>
      <c r="F133" s="672"/>
      <c r="G133" s="254" t="s">
        <v>238</v>
      </c>
      <c r="H133" s="255" t="str">
        <f>IF(OR(Table_7_UK!J29=0,Table_7_UK!L29&gt;0),"PASS","FAIL")</f>
        <v>PASS</v>
      </c>
      <c r="I133" s="256" t="str">
        <f>IF(OR(Table_7_UK!J29=0,Table_7_UK!L29&gt;0),"","Head "&amp;Table_7_UK!A29&amp;" ("&amp;J133&amp;")")</f>
        <v/>
      </c>
      <c r="J133" s="257" t="str">
        <f>Table_7_UK!J29&amp;", "&amp;Table_7_UK!L29</f>
        <v>4101, 2000</v>
      </c>
      <c r="K133" s="192">
        <f t="shared" si="6"/>
        <v>0</v>
      </c>
      <c r="L133" s="192">
        <f t="shared" si="7"/>
        <v>0</v>
      </c>
      <c r="M133" s="25"/>
      <c r="N133" s="25"/>
    </row>
    <row r="134" spans="1:14" customFormat="1" ht="30.5" customHeight="1" x14ac:dyDescent="0.35">
      <c r="A134" s="262" t="s">
        <v>453</v>
      </c>
      <c r="B134" s="671" t="s">
        <v>454</v>
      </c>
      <c r="C134" s="671"/>
      <c r="D134" s="671"/>
      <c r="E134" s="672" t="str">
        <f>Table_7_UK!$A$1&amp;" Head "&amp;Table_7_UK!A30&amp;" ("&amp;Table_7_UK!J3&amp;")"&amp;", "&amp;Table_7_UK!$A$1&amp;" Head "&amp;Table_7_UK!A30&amp;" ("&amp;Table_7_UK!L3&amp;")"</f>
        <v>Table 7: Head 1y (Total staff costs), Table 7: Head 1y (Other operating expenses)</v>
      </c>
      <c r="F134" s="672"/>
      <c r="G134" s="254" t="s">
        <v>238</v>
      </c>
      <c r="H134" s="255" t="str">
        <f>IF(OR(Table_7_UK!J30=0,Table_7_UK!L30&gt;0),"PASS","FAIL")</f>
        <v>PASS</v>
      </c>
      <c r="I134" s="256" t="str">
        <f>IF(OR(Table_7_UK!J30=0,Table_7_UK!L30&gt;0),"","Head "&amp;Table_7_UK!A30&amp;" ("&amp;J134&amp;")")</f>
        <v/>
      </c>
      <c r="J134" s="257" t="str">
        <f>Table_7_UK!J30&amp;", "&amp;Table_7_UK!L30</f>
        <v>4892, 839</v>
      </c>
      <c r="K134" s="192">
        <f t="shared" si="6"/>
        <v>0</v>
      </c>
      <c r="L134" s="192">
        <f t="shared" si="7"/>
        <v>0</v>
      </c>
      <c r="M134" s="25"/>
      <c r="N134" s="25"/>
    </row>
    <row r="135" spans="1:14" customFormat="1" ht="30.5" customHeight="1" x14ac:dyDescent="0.35">
      <c r="A135" s="262" t="s">
        <v>455</v>
      </c>
      <c r="B135" s="671" t="s">
        <v>456</v>
      </c>
      <c r="C135" s="671"/>
      <c r="D135" s="671"/>
      <c r="E135" s="672" t="str">
        <f>Table_7_UK!$A$1&amp;" Head "&amp;Table_7_UK!A31&amp;" ("&amp;Table_7_UK!J3&amp;")"&amp;", "&amp;Table_7_UK!$A$1&amp;" Head "&amp;Table_7_UK!A31&amp;" ("&amp;Table_7_UK!L3&amp;")"</f>
        <v>Table 7: Head 1z (Total staff costs), Table 7: Head 1z (Other operating expenses)</v>
      </c>
      <c r="F135" s="672"/>
      <c r="G135" s="254" t="s">
        <v>238</v>
      </c>
      <c r="H135" s="255" t="str">
        <f>IF(OR(Table_7_UK!J31=0,Table_7_UK!L31&gt;0),"PASS","FAIL")</f>
        <v>PASS</v>
      </c>
      <c r="I135" s="256" t="str">
        <f>IF(OR(Table_7_UK!J31=0,Table_7_UK!L31&gt;0),"","Head "&amp;Table_7_UK!A31&amp;" ("&amp;J135&amp;")")</f>
        <v/>
      </c>
      <c r="J135" s="257" t="str">
        <f>Table_7_UK!J31&amp;", "&amp;Table_7_UK!L31</f>
        <v>1203, 520</v>
      </c>
      <c r="K135" s="192">
        <f t="shared" si="6"/>
        <v>0</v>
      </c>
      <c r="L135" s="192">
        <f t="shared" si="7"/>
        <v>0</v>
      </c>
      <c r="M135" s="25"/>
      <c r="N135" s="25"/>
    </row>
    <row r="136" spans="1:14" customFormat="1" ht="30.5" customHeight="1" x14ac:dyDescent="0.35">
      <c r="A136" s="262" t="s">
        <v>457</v>
      </c>
      <c r="B136" s="671" t="s">
        <v>458</v>
      </c>
      <c r="C136" s="671"/>
      <c r="D136" s="671"/>
      <c r="E136" s="672" t="str">
        <f>Table_7_UK!$A$1&amp;" Head "&amp;Table_7_UK!A32&amp;" ("&amp;Table_7_UK!J3&amp;")"&amp;", "&amp;Table_7_UK!$A$1&amp;" Head "&amp;Table_7_UK!A32&amp;" ("&amp;Table_7_UK!L3&amp;")"</f>
        <v>Table 7: Head 1aa (Total staff costs), Table 7: Head 1aa (Other operating expenses)</v>
      </c>
      <c r="F136" s="672"/>
      <c r="G136" s="254" t="s">
        <v>238</v>
      </c>
      <c r="H136" s="255" t="str">
        <f>IF(OR(Table_7_UK!J32=0,Table_7_UK!L32&gt;0),"PASS","FAIL")</f>
        <v>PASS</v>
      </c>
      <c r="I136" s="256" t="str">
        <f>IF(OR(Table_7_UK!J32=0,Table_7_UK!L32&gt;0),"","Head "&amp;Table_7_UK!A32&amp;" ("&amp;J136&amp;")")</f>
        <v/>
      </c>
      <c r="J136" s="257" t="str">
        <f>Table_7_UK!J32&amp;", "&amp;Table_7_UK!L32</f>
        <v>2862, 58</v>
      </c>
      <c r="K136" s="192">
        <f t="shared" si="6"/>
        <v>0</v>
      </c>
      <c r="L136" s="192">
        <f t="shared" si="7"/>
        <v>0</v>
      </c>
      <c r="M136" s="25"/>
      <c r="N136" s="25"/>
    </row>
    <row r="137" spans="1:14" customFormat="1" ht="30.5" customHeight="1" x14ac:dyDescent="0.35">
      <c r="A137" s="262" t="s">
        <v>459</v>
      </c>
      <c r="B137" s="671" t="s">
        <v>460</v>
      </c>
      <c r="C137" s="671"/>
      <c r="D137" s="671"/>
      <c r="E137" s="672" t="str">
        <f>Table_7_UK!$A$1&amp;" Head "&amp;Table_7_UK!A33&amp;" ("&amp;Table_7_UK!J3&amp;")"&amp;", "&amp;Table_7_UK!$A$1&amp;" Head "&amp;Table_7_UK!A33&amp;" ("&amp;Table_7_UK!L3&amp;")"</f>
        <v>Table 7: Head 1ab (Total staff costs), Table 7: Head 1ab (Other operating expenses)</v>
      </c>
      <c r="F137" s="672"/>
      <c r="G137" s="254" t="s">
        <v>238</v>
      </c>
      <c r="H137" s="255" t="str">
        <f>IF(OR(Table_7_UK!J33=0,Table_7_UK!L33&gt;0),"PASS","FAIL")</f>
        <v>PASS</v>
      </c>
      <c r="I137" s="256" t="str">
        <f>IF(OR(Table_7_UK!J33=0,Table_7_UK!L33&gt;0),"","Head "&amp;Table_7_UK!A33&amp;" ("&amp;J137&amp;")")</f>
        <v/>
      </c>
      <c r="J137" s="257" t="str">
        <f>Table_7_UK!J33&amp;", "&amp;Table_7_UK!L33</f>
        <v>5677, 536</v>
      </c>
      <c r="K137" s="192">
        <f t="shared" si="6"/>
        <v>0</v>
      </c>
      <c r="L137" s="192">
        <f t="shared" si="7"/>
        <v>0</v>
      </c>
      <c r="M137" s="25"/>
      <c r="N137" s="25"/>
    </row>
    <row r="138" spans="1:14" customFormat="1" ht="30.5" customHeight="1" x14ac:dyDescent="0.35">
      <c r="A138" s="262" t="s">
        <v>461</v>
      </c>
      <c r="B138" s="671" t="s">
        <v>462</v>
      </c>
      <c r="C138" s="671"/>
      <c r="D138" s="671"/>
      <c r="E138" s="672" t="str">
        <f>Table_7_UK!$A$1&amp;" Head "&amp;Table_7_UK!A34&amp;" ("&amp;Table_7_UK!J3&amp;")"&amp;", "&amp;Table_7_UK!$A$1&amp;" Head "&amp;Table_7_UK!A34&amp;" ("&amp;Table_7_UK!L3&amp;")"</f>
        <v>Table 7: Head 1ac (Total staff costs), Table 7: Head 1ac (Other operating expenses)</v>
      </c>
      <c r="F138" s="672"/>
      <c r="G138" s="254" t="s">
        <v>238</v>
      </c>
      <c r="H138" s="255" t="str">
        <f>IF(OR(Table_7_UK!J34=0,Table_7_UK!L34&gt;0),"PASS","FAIL")</f>
        <v>PASS</v>
      </c>
      <c r="I138" s="256" t="str">
        <f>IF(OR(Table_7_UK!J34=0,Table_7_UK!L34&gt;0),"","Head "&amp;Table_7_UK!A34&amp;" ("&amp;J138&amp;")")</f>
        <v/>
      </c>
      <c r="J138" s="257" t="str">
        <f>Table_7_UK!J34&amp;", "&amp;Table_7_UK!L34</f>
        <v>6492, 668</v>
      </c>
      <c r="K138" s="192">
        <f t="shared" si="6"/>
        <v>0</v>
      </c>
      <c r="L138" s="192">
        <f t="shared" si="7"/>
        <v>0</v>
      </c>
      <c r="M138" s="25"/>
      <c r="N138" s="25"/>
    </row>
    <row r="139" spans="1:14" customFormat="1" ht="30.5" customHeight="1" x14ac:dyDescent="0.35">
      <c r="A139" s="262" t="s">
        <v>463</v>
      </c>
      <c r="B139" s="671" t="s">
        <v>464</v>
      </c>
      <c r="C139" s="671"/>
      <c r="D139" s="671"/>
      <c r="E139" s="672" t="str">
        <f>Table_7_UK!$A$1&amp;" Head "&amp;Table_7_UK!A35&amp;" ("&amp;Table_7_UK!J3&amp;")"&amp;", "&amp;Table_7_UK!$A$1&amp;" Head "&amp;Table_7_UK!A35&amp;" ("&amp;Table_7_UK!L3&amp;")"</f>
        <v>Table 7: Head 1ad (Total staff costs), Table 7: Head 1ad (Other operating expenses)</v>
      </c>
      <c r="F139" s="672"/>
      <c r="G139" s="254" t="s">
        <v>238</v>
      </c>
      <c r="H139" s="255" t="str">
        <f>IF(OR(Table_7_UK!J35=0,Table_7_UK!L35&gt;0),"PASS","FAIL")</f>
        <v>PASS</v>
      </c>
      <c r="I139" s="256" t="str">
        <f>IF(OR(Table_7_UK!J35=0,Table_7_UK!L35&gt;0),"","Head "&amp;Table_7_UK!A35&amp;" ("&amp;J139&amp;")")</f>
        <v/>
      </c>
      <c r="J139" s="257" t="str">
        <f>Table_7_UK!J35&amp;", "&amp;Table_7_UK!L35</f>
        <v>12426, 823</v>
      </c>
      <c r="K139" s="192">
        <f t="shared" si="6"/>
        <v>0</v>
      </c>
      <c r="L139" s="192">
        <f t="shared" si="7"/>
        <v>0</v>
      </c>
      <c r="M139" s="25"/>
      <c r="N139" s="25"/>
    </row>
    <row r="140" spans="1:14" customFormat="1" ht="30.5" customHeight="1" x14ac:dyDescent="0.35">
      <c r="A140" s="262" t="s">
        <v>465</v>
      </c>
      <c r="B140" s="671" t="s">
        <v>466</v>
      </c>
      <c r="C140" s="671"/>
      <c r="D140" s="671"/>
      <c r="E140" s="672" t="str">
        <f>Table_7_UK!$A$1&amp;" Head "&amp;Table_7_UK!A36&amp;" ("&amp;Table_7_UK!J3&amp;")"&amp;", "&amp;Table_7_UK!$A$1&amp;" Head "&amp;Table_7_UK!A36&amp;" ("&amp;Table_7_UK!L3&amp;")"</f>
        <v>Table 7: Head 1ae (Total staff costs), Table 7: Head 1ae (Other operating expenses)</v>
      </c>
      <c r="F140" s="672"/>
      <c r="G140" s="254" t="s">
        <v>238</v>
      </c>
      <c r="H140" s="255" t="str">
        <f>IF(OR(Table_7_UK!J36=0,Table_7_UK!L36&gt;0),"PASS","FAIL")</f>
        <v>PASS</v>
      </c>
      <c r="I140" s="256" t="str">
        <f>IF(OR(Table_7_UK!J36=0,Table_7_UK!L36&gt;0),"","Head "&amp;Table_7_UK!A36&amp;" ("&amp;J140&amp;")")</f>
        <v/>
      </c>
      <c r="J140" s="257" t="str">
        <f>Table_7_UK!J36&amp;", "&amp;Table_7_UK!L36</f>
        <v>3750, 267</v>
      </c>
      <c r="K140" s="192">
        <f t="shared" si="6"/>
        <v>0</v>
      </c>
      <c r="L140" s="192">
        <f t="shared" si="7"/>
        <v>0</v>
      </c>
      <c r="M140" s="25"/>
      <c r="N140" s="25"/>
    </row>
    <row r="141" spans="1:14" customFormat="1" ht="30.5" customHeight="1" x14ac:dyDescent="0.35">
      <c r="A141" s="262" t="s">
        <v>467</v>
      </c>
      <c r="B141" s="671" t="s">
        <v>468</v>
      </c>
      <c r="C141" s="671"/>
      <c r="D141" s="671"/>
      <c r="E141" s="672" t="str">
        <f>Table_7_UK!$A$1&amp;" Head "&amp;Table_7_UK!A37&amp;" ("&amp;Table_7_UK!J3&amp;")"&amp;", "&amp;Table_7_UK!$A$1&amp;" Head "&amp;Table_7_UK!A37&amp;" ("&amp;Table_7_UK!L3&amp;")"</f>
        <v>Table 7: Head 1af (Total staff costs), Table 7: Head 1af (Other operating expenses)</v>
      </c>
      <c r="F141" s="672"/>
      <c r="G141" s="254" t="s">
        <v>238</v>
      </c>
      <c r="H141" s="255" t="str">
        <f>IF(OR(Table_7_UK!J37=0,Table_7_UK!L37&gt;0),"PASS","FAIL")</f>
        <v>PASS</v>
      </c>
      <c r="I141" s="256" t="str">
        <f>IF(OR(Table_7_UK!J37=0,Table_7_UK!L37&gt;0),"","Head "&amp;Table_7_UK!A37&amp;" ("&amp;J141&amp;")")</f>
        <v/>
      </c>
      <c r="J141" s="257" t="str">
        <f>Table_7_UK!J37&amp;", "&amp;Table_7_UK!L37</f>
        <v>11710, 143</v>
      </c>
      <c r="K141" s="192">
        <f t="shared" si="6"/>
        <v>0</v>
      </c>
      <c r="L141" s="192">
        <f t="shared" si="7"/>
        <v>0</v>
      </c>
      <c r="M141" s="25"/>
      <c r="N141" s="25"/>
    </row>
    <row r="142" spans="1:14" customFormat="1" ht="30.5" customHeight="1" x14ac:dyDescent="0.35">
      <c r="A142" s="262" t="s">
        <v>469</v>
      </c>
      <c r="B142" s="671" t="s">
        <v>470</v>
      </c>
      <c r="C142" s="671"/>
      <c r="D142" s="671"/>
      <c r="E142" s="672" t="str">
        <f>Table_7_UK!$A$1&amp;" Head "&amp;Table_7_UK!A38&amp;" ("&amp;Table_7_UK!J3&amp;")"&amp;", "&amp;Table_7_UK!$A$1&amp;" Head "&amp;Table_7_UK!A38&amp;" ("&amp;Table_7_UK!L3&amp;")"</f>
        <v>Table 7: Head 1ag (Total staff costs), Table 7: Head 1ag (Other operating expenses)</v>
      </c>
      <c r="F142" s="672"/>
      <c r="G142" s="254" t="s">
        <v>238</v>
      </c>
      <c r="H142" s="255" t="str">
        <f>IF(OR(Table_7_UK!J38=0,Table_7_UK!L38&gt;0),"PASS","FAIL")</f>
        <v>PASS</v>
      </c>
      <c r="I142" s="256" t="str">
        <f>IF(OR(Table_7_UK!J38=0,Table_7_UK!L38&gt;0),"","Head "&amp;Table_7_UK!A38&amp;" ("&amp;J142&amp;")")</f>
        <v/>
      </c>
      <c r="J142" s="257" t="str">
        <f>Table_7_UK!J38&amp;", "&amp;Table_7_UK!L38</f>
        <v>19961, 3284</v>
      </c>
      <c r="K142" s="192">
        <f t="shared" si="6"/>
        <v>0</v>
      </c>
      <c r="L142" s="192">
        <f t="shared" si="7"/>
        <v>0</v>
      </c>
      <c r="M142" s="25"/>
      <c r="N142" s="25"/>
    </row>
    <row r="143" spans="1:14" customFormat="1" ht="30.5" customHeight="1" x14ac:dyDescent="0.35">
      <c r="A143" s="262" t="s">
        <v>471</v>
      </c>
      <c r="B143" s="671" t="s">
        <v>472</v>
      </c>
      <c r="C143" s="671"/>
      <c r="D143" s="671"/>
      <c r="E143" s="672" t="str">
        <f>Table_7_UK!$A$1&amp;" Head "&amp;Table_7_UK!A39&amp;" ("&amp;Table_7_UK!J3&amp;")"&amp;", "&amp;Table_7_UK!$A$1&amp;" Head "&amp;Table_7_UK!A39&amp;" ("&amp;Table_7_UK!L3&amp;")"</f>
        <v>Table 7: Head 1ah (Total staff costs), Table 7: Head 1ah (Other operating expenses)</v>
      </c>
      <c r="F143" s="672"/>
      <c r="G143" s="254" t="s">
        <v>238</v>
      </c>
      <c r="H143" s="255" t="str">
        <f>IF(OR(Table_7_UK!J39=0,Table_7_UK!L39&gt;0),"PASS","FAIL")</f>
        <v>PASS</v>
      </c>
      <c r="I143" s="256" t="str">
        <f>IF(OR(Table_7_UK!J39=0,Table_7_UK!L39&gt;0),"","Head "&amp;Table_7_UK!A39&amp;" ("&amp;J143&amp;")")</f>
        <v/>
      </c>
      <c r="J143" s="257" t="str">
        <f>Table_7_UK!J39&amp;", "&amp;Table_7_UK!L39</f>
        <v>0, 0</v>
      </c>
      <c r="K143" s="192">
        <f t="shared" si="6"/>
        <v>0</v>
      </c>
      <c r="L143" s="192">
        <f t="shared" si="7"/>
        <v>0</v>
      </c>
      <c r="M143" s="25"/>
      <c r="N143" s="25"/>
    </row>
    <row r="144" spans="1:14" customFormat="1" ht="30.5" customHeight="1" x14ac:dyDescent="0.35">
      <c r="A144" s="262" t="s">
        <v>473</v>
      </c>
      <c r="B144" s="671" t="s">
        <v>474</v>
      </c>
      <c r="C144" s="671"/>
      <c r="D144" s="671"/>
      <c r="E144" s="672" t="str">
        <f>Table_7_UK!$A$1&amp;" Head "&amp;Table_7_UK!A40&amp;" ("&amp;Table_7_UK!J3&amp;")"&amp;", "&amp;Table_7_UK!$A$1&amp;" Head "&amp;Table_7_UK!A40&amp;" ("&amp;Table_7_UK!L3&amp;")"</f>
        <v>Table 7: Head 1ai (Total staff costs), Table 7: Head 1ai (Other operating expenses)</v>
      </c>
      <c r="F144" s="672"/>
      <c r="G144" s="254" t="s">
        <v>238</v>
      </c>
      <c r="H144" s="255" t="str">
        <f>IF(OR(Table_7_UK!J40=0,Table_7_UK!L40&gt;0),"PASS","FAIL")</f>
        <v>PASS</v>
      </c>
      <c r="I144" s="256" t="str">
        <f>IF(OR(Table_7_UK!J40=0,Table_7_UK!L40&gt;0),"","Head "&amp;Table_7_UK!A40&amp;" ("&amp;J144&amp;")")</f>
        <v/>
      </c>
      <c r="J144" s="257" t="str">
        <f>Table_7_UK!J40&amp;", "&amp;Table_7_UK!L40</f>
        <v>21019, 753</v>
      </c>
      <c r="K144" s="192">
        <f t="shared" si="6"/>
        <v>0</v>
      </c>
      <c r="L144" s="192">
        <f t="shared" si="7"/>
        <v>0</v>
      </c>
      <c r="M144" s="25"/>
      <c r="N144" s="25"/>
    </row>
    <row r="145" spans="1:14" customFormat="1" ht="30.5" customHeight="1" x14ac:dyDescent="0.35">
      <c r="A145" s="262" t="s">
        <v>475</v>
      </c>
      <c r="B145" s="671" t="s">
        <v>476</v>
      </c>
      <c r="C145" s="671"/>
      <c r="D145" s="671"/>
      <c r="E145" s="672" t="str">
        <f>Table_7_UK!$A$1&amp;" Head "&amp;Table_7_UK!A41&amp;" ("&amp;Table_7_UK!J3&amp;")"&amp;", "&amp;Table_7_UK!$A$1&amp;" Head "&amp;Table_7_UK!A41&amp;" ("&amp;Table_7_UK!L3&amp;")"</f>
        <v>Table 7: Head 1aj (Total staff costs), Table 7: Head 1aj (Other operating expenses)</v>
      </c>
      <c r="F145" s="672"/>
      <c r="G145" s="254" t="s">
        <v>238</v>
      </c>
      <c r="H145" s="255" t="str">
        <f>IF(OR(Table_7_UK!J41=0,Table_7_UK!L41&gt;0),"PASS","FAIL")</f>
        <v>PASS</v>
      </c>
      <c r="I145" s="256" t="str">
        <f>IF(OR(Table_7_UK!J41=0,Table_7_UK!L41&gt;0),"","Head "&amp;Table_7_UK!A41&amp;" ("&amp;J145&amp;")")</f>
        <v/>
      </c>
      <c r="J145" s="257" t="str">
        <f>Table_7_UK!J41&amp;", "&amp;Table_7_UK!L41</f>
        <v>6583, 864</v>
      </c>
      <c r="K145" s="192">
        <f t="shared" si="6"/>
        <v>0</v>
      </c>
      <c r="L145" s="192">
        <f t="shared" si="7"/>
        <v>0</v>
      </c>
      <c r="M145" s="25"/>
      <c r="N145" s="25"/>
    </row>
    <row r="146" spans="1:14" customFormat="1" ht="30.5" customHeight="1" x14ac:dyDescent="0.35">
      <c r="A146" s="262" t="s">
        <v>477</v>
      </c>
      <c r="B146" s="671" t="s">
        <v>478</v>
      </c>
      <c r="C146" s="671"/>
      <c r="D146" s="671"/>
      <c r="E146" s="672" t="str">
        <f>Table_7_UK!$A$1&amp;" Head "&amp;Table_7_UK!A42&amp;" ("&amp;Table_7_UK!J3&amp;")"&amp;", "&amp;Table_7_UK!$A$1&amp;" Head "&amp;Table_7_UK!A42&amp;" ("&amp;Table_7_UK!L3&amp;")"</f>
        <v>Table 7: Head 1ak (Total staff costs), Table 7: Head 1ak (Other operating expenses)</v>
      </c>
      <c r="F146" s="672"/>
      <c r="G146" s="254" t="s">
        <v>238</v>
      </c>
      <c r="H146" s="255" t="str">
        <f>IF(OR(Table_7_UK!J42=0,Table_7_UK!L42&gt;0),"PASS","FAIL")</f>
        <v>PASS</v>
      </c>
      <c r="I146" s="256" t="str">
        <f>IF(OR(Table_7_UK!J42=0,Table_7_UK!L42&gt;0),"","Head "&amp;Table_7_UK!A42&amp;" ("&amp;J146&amp;")")</f>
        <v/>
      </c>
      <c r="J146" s="257" t="str">
        <f>Table_7_UK!J42&amp;", "&amp;Table_7_UK!L42</f>
        <v>14052, 675</v>
      </c>
      <c r="K146" s="192">
        <f t="shared" si="6"/>
        <v>0</v>
      </c>
      <c r="L146" s="192">
        <f t="shared" si="7"/>
        <v>0</v>
      </c>
      <c r="M146" s="25"/>
      <c r="N146" s="25"/>
    </row>
    <row r="147" spans="1:14" customFormat="1" ht="30.5" customHeight="1" x14ac:dyDescent="0.35">
      <c r="A147" s="262" t="s">
        <v>479</v>
      </c>
      <c r="B147" s="671" t="s">
        <v>480</v>
      </c>
      <c r="C147" s="671"/>
      <c r="D147" s="671"/>
      <c r="E147" s="672" t="str">
        <f>Table_7_UK!$A$1&amp;" Head "&amp;Table_7_UK!A43&amp;" ("&amp;Table_7_UK!J3&amp;")"&amp;", "&amp;Table_7_UK!$A$1&amp;" Head "&amp;Table_7_UK!A43&amp;" ("&amp;Table_7_UK!L3&amp;")"</f>
        <v>Table 7: Head 1al (Total staff costs), Table 7: Head 1al (Other operating expenses)</v>
      </c>
      <c r="F147" s="672"/>
      <c r="G147" s="254" t="s">
        <v>238</v>
      </c>
      <c r="H147" s="255" t="str">
        <f>IF(OR(Table_7_UK!J43=0,Table_7_UK!L43&gt;0),"PASS","FAIL")</f>
        <v>PASS</v>
      </c>
      <c r="I147" s="256" t="str">
        <f>IF(OR(Table_7_UK!J43=0,Table_7_UK!L43&gt;0),"","Head "&amp;Table_7_UK!A43&amp;" ("&amp;J147&amp;")")</f>
        <v/>
      </c>
      <c r="J147" s="257" t="str">
        <f>Table_7_UK!J43&amp;", "&amp;Table_7_UK!L43</f>
        <v>4275, 87</v>
      </c>
      <c r="K147" s="192">
        <f t="shared" si="6"/>
        <v>0</v>
      </c>
      <c r="L147" s="192">
        <f t="shared" si="7"/>
        <v>0</v>
      </c>
      <c r="M147" s="25"/>
      <c r="N147" s="25"/>
    </row>
    <row r="148" spans="1:14" customFormat="1" ht="30.5" customHeight="1" x14ac:dyDescent="0.35">
      <c r="A148" s="262" t="s">
        <v>481</v>
      </c>
      <c r="B148" s="671" t="s">
        <v>482</v>
      </c>
      <c r="C148" s="671"/>
      <c r="D148" s="671"/>
      <c r="E148" s="672" t="str">
        <f>Table_7_UK!$A$1&amp;" Head "&amp;Table_7_UK!A44&amp;" ("&amp;Table_7_UK!J3&amp;")"&amp;", "&amp;Table_7_UK!$A$1&amp;" Head "&amp;Table_7_UK!A44&amp;" ("&amp;Table_7_UK!L3&amp;")"</f>
        <v>Table 7: Head 1am (Total staff costs), Table 7: Head 1am (Other operating expenses)</v>
      </c>
      <c r="F148" s="672"/>
      <c r="G148" s="254" t="s">
        <v>238</v>
      </c>
      <c r="H148" s="255" t="str">
        <f>IF(OR(Table_7_UK!J44=0,Table_7_UK!L44&gt;0),"PASS","FAIL")</f>
        <v>PASS</v>
      </c>
      <c r="I148" s="256" t="str">
        <f>IF(OR(Table_7_UK!J44=0,Table_7_UK!L44&gt;0),"","Head "&amp;Table_7_UK!A44&amp;" ("&amp;J148&amp;")")</f>
        <v/>
      </c>
      <c r="J148" s="257" t="str">
        <f>Table_7_UK!J44&amp;", "&amp;Table_7_UK!L44</f>
        <v>9068, 143</v>
      </c>
      <c r="K148" s="192">
        <f t="shared" si="6"/>
        <v>0</v>
      </c>
      <c r="L148" s="192">
        <f t="shared" si="7"/>
        <v>0</v>
      </c>
      <c r="M148" s="25"/>
      <c r="N148" s="25"/>
    </row>
    <row r="149" spans="1:14" customFormat="1" ht="30.5" customHeight="1" x14ac:dyDescent="0.35">
      <c r="A149" s="262" t="s">
        <v>483</v>
      </c>
      <c r="B149" s="671" t="s">
        <v>484</v>
      </c>
      <c r="C149" s="671"/>
      <c r="D149" s="671"/>
      <c r="E149" s="672" t="str">
        <f>Table_7_UK!$A$1&amp;" Head "&amp;Table_7_UK!A45&amp;" ("&amp;Table_7_UK!J3&amp;")"&amp;", "&amp;Table_7_UK!$A$1&amp;" Head "&amp;Table_7_UK!A45&amp;" ("&amp;Table_7_UK!L3&amp;")"</f>
        <v>Table 7: Head 1an (Total staff costs), Table 7: Head 1an (Other operating expenses)</v>
      </c>
      <c r="F149" s="672"/>
      <c r="G149" s="254" t="s">
        <v>238</v>
      </c>
      <c r="H149" s="255" t="str">
        <f>IF(OR(Table_7_UK!J45=0,Table_7_UK!L45&gt;0),"PASS","FAIL")</f>
        <v>PASS</v>
      </c>
      <c r="I149" s="256" t="str">
        <f>IF(OR(Table_7_UK!J45=0,Table_7_UK!L45&gt;0),"","Head "&amp;Table_7_UK!A45&amp;" ("&amp;J149&amp;")")</f>
        <v/>
      </c>
      <c r="J149" s="257" t="str">
        <f>Table_7_UK!J45&amp;", "&amp;Table_7_UK!L45</f>
        <v>2509, 56</v>
      </c>
      <c r="K149" s="192">
        <f t="shared" si="6"/>
        <v>0</v>
      </c>
      <c r="L149" s="192">
        <f t="shared" si="7"/>
        <v>0</v>
      </c>
      <c r="M149" s="25"/>
      <c r="N149" s="25"/>
    </row>
    <row r="150" spans="1:14" customFormat="1" ht="30.5" customHeight="1" x14ac:dyDescent="0.35">
      <c r="A150" s="262" t="s">
        <v>485</v>
      </c>
      <c r="B150" s="671" t="s">
        <v>486</v>
      </c>
      <c r="C150" s="671"/>
      <c r="D150" s="671"/>
      <c r="E150" s="672" t="str">
        <f>Table_7_UK!$A$1&amp;" Head "&amp;Table_7_UK!A46&amp;" ("&amp;Table_7_UK!J3&amp;")"&amp;", "&amp;Table_7_UK!$A$1&amp;" Head "&amp;Table_7_UK!A46&amp;" ("&amp;Table_7_UK!L3&amp;")"</f>
        <v>Table 7: Head 1ao (Total staff costs), Table 7: Head 1ao (Other operating expenses)</v>
      </c>
      <c r="F150" s="672"/>
      <c r="G150" s="254" t="s">
        <v>238</v>
      </c>
      <c r="H150" s="255" t="str">
        <f>IF(OR(Table_7_UK!J46=0,Table_7_UK!L46&gt;0),"PASS","FAIL")</f>
        <v>PASS</v>
      </c>
      <c r="I150" s="256" t="str">
        <f>IF(OR(Table_7_UK!J46=0,Table_7_UK!L46&gt;0),"","Head "&amp;Table_7_UK!A46&amp;" ("&amp;J150&amp;")")</f>
        <v/>
      </c>
      <c r="J150" s="257" t="str">
        <f>Table_7_UK!J46&amp;", "&amp;Table_7_UK!L46</f>
        <v>7045, 1619</v>
      </c>
      <c r="K150" s="192">
        <f t="shared" si="6"/>
        <v>0</v>
      </c>
      <c r="L150" s="192">
        <f t="shared" si="7"/>
        <v>0</v>
      </c>
      <c r="M150" s="25"/>
      <c r="N150" s="25"/>
    </row>
    <row r="151" spans="1:14" customFormat="1" ht="30.5" customHeight="1" x14ac:dyDescent="0.35">
      <c r="A151" s="262" t="s">
        <v>487</v>
      </c>
      <c r="B151" s="671" t="s">
        <v>488</v>
      </c>
      <c r="C151" s="671"/>
      <c r="D151" s="671"/>
      <c r="E151" s="672" t="str">
        <f>Table_7_UK!$A$1&amp;" Head "&amp;Table_7_UK!A47&amp;" ("&amp;Table_7_UK!J3&amp;")"&amp;", "&amp;Table_7_UK!$A$1&amp;" Head "&amp;Table_7_UK!A47&amp;" ("&amp;Table_7_UK!L3&amp;")"</f>
        <v>Table 7: Head 1ap (Total staff costs), Table 7: Head 1ap (Other operating expenses)</v>
      </c>
      <c r="F151" s="672"/>
      <c r="G151" s="254" t="s">
        <v>238</v>
      </c>
      <c r="H151" s="255" t="str">
        <f>IF(OR(Table_7_UK!J47=0,Table_7_UK!L47&gt;0),"PASS","FAIL")</f>
        <v>PASS</v>
      </c>
      <c r="I151" s="256" t="str">
        <f>IF(OR(Table_7_UK!J47=0,Table_7_UK!L47&gt;0),"","Head "&amp;Table_7_UK!A47&amp;" ("&amp;J151&amp;")")</f>
        <v/>
      </c>
      <c r="J151" s="257" t="str">
        <f>Table_7_UK!J47&amp;", "&amp;Table_7_UK!L47</f>
        <v>3998, 772</v>
      </c>
      <c r="K151" s="192">
        <f t="shared" si="6"/>
        <v>0</v>
      </c>
      <c r="L151" s="192">
        <f t="shared" si="7"/>
        <v>0</v>
      </c>
      <c r="M151" s="25"/>
      <c r="N151" s="25"/>
    </row>
    <row r="152" spans="1:14" customFormat="1" ht="30.5" customHeight="1" x14ac:dyDescent="0.35">
      <c r="A152" s="262" t="s">
        <v>489</v>
      </c>
      <c r="B152" s="671" t="s">
        <v>490</v>
      </c>
      <c r="C152" s="671"/>
      <c r="D152" s="671"/>
      <c r="E152" s="672" t="str">
        <f>Table_7_UK!$A$1&amp;" Head "&amp;Table_7_UK!A48&amp;" ("&amp;Table_7_UK!J3&amp;")"&amp;", "&amp;Table_7_UK!$A$1&amp;" Head "&amp;Table_7_UK!A48&amp;" ("&amp;Table_7_UK!L3&amp;")"</f>
        <v>Table 7: Head 1aq (Total staff costs), Table 7: Head 1aq (Other operating expenses)</v>
      </c>
      <c r="F152" s="672"/>
      <c r="G152" s="254" t="s">
        <v>238</v>
      </c>
      <c r="H152" s="255" t="str">
        <f>IF(OR(Table_7_UK!J48=0,Table_7_UK!L48&gt;0),"PASS","FAIL")</f>
        <v>PASS</v>
      </c>
      <c r="I152" s="256" t="str">
        <f>IF(OR(Table_7_UK!J48=0,Table_7_UK!L48&gt;0),"","Head "&amp;Table_7_UK!A48&amp;" ("&amp;J152&amp;")")</f>
        <v/>
      </c>
      <c r="J152" s="257" t="str">
        <f>Table_7_UK!J48&amp;", "&amp;Table_7_UK!L48</f>
        <v>19604, 3201</v>
      </c>
      <c r="K152" s="192">
        <f t="shared" ref="K152:K183" si="8">IF(AND(G152="Error",H152="FAIL"),1,0)</f>
        <v>0</v>
      </c>
      <c r="L152" s="192">
        <f t="shared" ref="L152:L183" si="9">IF(AND(G152="Warning",H152="FAIL"),1,0)</f>
        <v>0</v>
      </c>
      <c r="M152" s="25"/>
      <c r="N152" s="25"/>
    </row>
    <row r="153" spans="1:14" customFormat="1" ht="30.5" customHeight="1" x14ac:dyDescent="0.35">
      <c r="A153" s="262" t="s">
        <v>491</v>
      </c>
      <c r="B153" s="671" t="s">
        <v>492</v>
      </c>
      <c r="C153" s="671"/>
      <c r="D153" s="671"/>
      <c r="E153" s="672" t="str">
        <f>Table_7_UK!$A$1&amp;" Head "&amp;Table_7_UK!A49&amp;" ("&amp;Table_7_UK!J3&amp;")"&amp;", "&amp;Table_7_UK!$A$1&amp;" Head "&amp;Table_7_UK!A49&amp;" ("&amp;Table_7_UK!L3&amp;")"</f>
        <v>Table 7: Head 1ar (Total staff costs), Table 7: Head 1ar (Other operating expenses)</v>
      </c>
      <c r="F153" s="672"/>
      <c r="G153" s="254" t="s">
        <v>238</v>
      </c>
      <c r="H153" s="255" t="str">
        <f>IF(OR(Table_7_UK!J49=0,Table_7_UK!L49&gt;0),"PASS","FAIL")</f>
        <v>PASS</v>
      </c>
      <c r="I153" s="256" t="str">
        <f>IF(OR(Table_7_UK!J49=0,Table_7_UK!L49&gt;0),"","Head "&amp;Table_7_UK!A49&amp;" ("&amp;J153&amp;")")</f>
        <v/>
      </c>
      <c r="J153" s="257" t="str">
        <f>Table_7_UK!J49&amp;", "&amp;Table_7_UK!L49</f>
        <v>2138, 254</v>
      </c>
      <c r="K153" s="192">
        <f t="shared" si="8"/>
        <v>0</v>
      </c>
      <c r="L153" s="192">
        <f t="shared" si="9"/>
        <v>0</v>
      </c>
      <c r="M153" s="25"/>
      <c r="N153" s="25"/>
    </row>
    <row r="154" spans="1:14" customFormat="1" ht="30.5" customHeight="1" x14ac:dyDescent="0.35">
      <c r="A154" s="262" t="s">
        <v>493</v>
      </c>
      <c r="B154" s="671" t="s">
        <v>494</v>
      </c>
      <c r="C154" s="671"/>
      <c r="D154" s="671"/>
      <c r="E154" s="672" t="str">
        <f>Table_7_UK!$A$1&amp;" Head "&amp;Table_7_UK!A50&amp;" ("&amp;Table_7_UK!J3&amp;")"&amp;", "&amp;Table_7_UK!$A$1&amp;" Head "&amp;Table_7_UK!A50&amp;" ("&amp;Table_7_UK!L3&amp;")"</f>
        <v>Table 7: Head 1as (Total staff costs), Table 7: Head 1as (Other operating expenses)</v>
      </c>
      <c r="F154" s="672"/>
      <c r="G154" s="254" t="s">
        <v>238</v>
      </c>
      <c r="H154" s="255" t="str">
        <f>IF(OR(Table_7_UK!J50=0,Table_7_UK!L50&gt;0),"PASS","FAIL")</f>
        <v>PASS</v>
      </c>
      <c r="I154" s="256" t="str">
        <f>IF(OR(Table_7_UK!J50=0,Table_7_UK!L50&gt;0),"","Head "&amp;Table_7_UK!A50&amp;" ("&amp;J154&amp;")")</f>
        <v/>
      </c>
      <c r="J154" s="257" t="str">
        <f>Table_7_UK!J50&amp;", "&amp;Table_7_UK!L50</f>
        <v>0, 0</v>
      </c>
      <c r="K154" s="192">
        <f t="shared" si="8"/>
        <v>0</v>
      </c>
      <c r="L154" s="192">
        <f t="shared" si="9"/>
        <v>0</v>
      </c>
      <c r="M154" s="25"/>
      <c r="N154" s="25"/>
    </row>
    <row r="155" spans="1:14" customFormat="1" ht="30.5" customHeight="1" x14ac:dyDescent="0.35">
      <c r="A155" s="262" t="s">
        <v>495</v>
      </c>
      <c r="B155" s="671" t="s">
        <v>496</v>
      </c>
      <c r="C155" s="671"/>
      <c r="D155" s="671"/>
      <c r="E155" s="672" t="str">
        <f>Table_7_UK!$A$1&amp;" Head "&amp;Table_7_UK!A102&amp;" ("&amp;Table_7_UK!L3&amp;")"</f>
        <v>Table 7: Head 7a (Other operating expenses)</v>
      </c>
      <c r="F155" s="672"/>
      <c r="G155" s="254" t="s">
        <v>238</v>
      </c>
      <c r="H155" s="255" t="str">
        <f>IF(Table_7_UK!L102&lt;&gt;0,"FAIL","PASS")</f>
        <v>PASS</v>
      </c>
      <c r="I155" s="256" t="str">
        <f>IF(Table_7_UK!L102&lt;&gt;0,"Head "&amp;Table_7_UK!A102&amp;" ("&amp;J155&amp;")","")</f>
        <v/>
      </c>
      <c r="J155" s="257">
        <f>Table_7_UK!L102</f>
        <v>0</v>
      </c>
      <c r="K155" s="192">
        <f t="shared" si="8"/>
        <v>0</v>
      </c>
      <c r="L155" s="192">
        <f t="shared" si="9"/>
        <v>0</v>
      </c>
      <c r="M155" s="25"/>
      <c r="N155" s="25"/>
    </row>
    <row r="156" spans="1:14" s="25" customFormat="1" ht="30.5" customHeight="1" x14ac:dyDescent="0.25">
      <c r="A156" s="262" t="s">
        <v>497</v>
      </c>
      <c r="B156" s="671" t="s">
        <v>498</v>
      </c>
      <c r="C156" s="671"/>
      <c r="D156" s="671"/>
      <c r="E156" s="672" t="str">
        <f>Table_7_UK!$A$1&amp;" Head "&amp;Table_7_UK!A103&amp;" ("&amp;Table_7_UK!O3&amp;")"&amp;", "&amp;Table_7_UK!A106&amp;" ("&amp;Table_7_UK!O3&amp;")"</f>
        <v>Table 7: Head 7b (Total expenditure), 8 (Total expenditure)</v>
      </c>
      <c r="F156" s="672"/>
      <c r="G156" s="269" t="s">
        <v>238</v>
      </c>
      <c r="H156" s="264" t="str">
        <f>IF(OR(Table_7_UK!O103&gt;=20000,IF(Table_7_UK!O103=0,0,(Table_7_UK!O103/Table_7_UK!O106)&gt;=0.1)),"FAIL","PASS")</f>
        <v>FAIL</v>
      </c>
      <c r="I156" s="139" t="str">
        <f>IF(OR(Table_7_UK!O103&gt;=20000,IF(Table_7_UK!O103=0,0,(Table_7_UK!O103/Table_7_UK!O106)&gt;=0.1)),"Head "&amp;Table_7_UK!A103&amp;" ("&amp;Table_7_UK!O103&amp;")"&amp;", "&amp;Table_7_UK!A106&amp;" ("&amp;Table_7_UK!O106&amp;")","")</f>
        <v>Head 7b (21908), 8 (1456356)</v>
      </c>
      <c r="J156" s="266" t="str">
        <f>Table_7_UK!O103&amp;", "&amp;Table_7_UK!O106</f>
        <v>21908, 1456356</v>
      </c>
      <c r="K156" s="192">
        <f t="shared" si="8"/>
        <v>0</v>
      </c>
      <c r="L156" s="192">
        <f t="shared" si="9"/>
        <v>1</v>
      </c>
    </row>
    <row r="157" spans="1:14" s="25" customFormat="1" ht="30.5" customHeight="1" x14ac:dyDescent="0.25">
      <c r="A157" s="262" t="s">
        <v>499</v>
      </c>
      <c r="B157" s="671" t="s">
        <v>500</v>
      </c>
      <c r="C157" s="671"/>
      <c r="D157" s="671"/>
      <c r="E157" s="672" t="str">
        <f>Table_7_UK!$A$1&amp;" Head "&amp;Table_7_UK!A57&amp;" "&amp;Table_7_UK!A58&amp;" ("&amp;Table_7_UK!O3&amp;")"&amp;", "&amp;Table_7_UK!A57&amp;" "&amp;Table_7_UK!A59&amp;" ("&amp;Table_7_UK!O3&amp;")"</f>
        <v>Table 7: Head 3b i (Total expenditure), 3b ii (Total expenditure)</v>
      </c>
      <c r="F157" s="672"/>
      <c r="G157" s="269" t="s">
        <v>238</v>
      </c>
      <c r="H157" s="264" t="str">
        <f>IF(Table_7_UK!O58+Table_7_UK!O59=0,"FAIL","PASS")</f>
        <v>PASS</v>
      </c>
      <c r="I157" s="139" t="str">
        <f>IF(Table_7_UK!O58+Table_7_UK!O59=0,"Head "&amp;Table_7_UK!A57&amp;" "&amp;Table_7_UK!A58&amp;" ("&amp;Table_7_UK!O58&amp;")"&amp;", "&amp;Table_7_UK!A57&amp;" "&amp;Table_7_UK!A59&amp;" ("&amp;Table_7_UK!O59&amp;")","")</f>
        <v/>
      </c>
      <c r="J157" s="266" t="str">
        <f>Table_7_UK!O58&amp;", "&amp;Table_7_UK!O59</f>
        <v>0, 19849</v>
      </c>
      <c r="K157" s="192">
        <f t="shared" si="8"/>
        <v>0</v>
      </c>
      <c r="L157" s="192">
        <f t="shared" si="9"/>
        <v>0</v>
      </c>
    </row>
    <row r="158" spans="1:14" customFormat="1" ht="30.5" customHeight="1" x14ac:dyDescent="0.35">
      <c r="A158" s="262" t="s">
        <v>501</v>
      </c>
      <c r="B158" s="671" t="s">
        <v>502</v>
      </c>
      <c r="C158" s="671"/>
      <c r="D158" s="671"/>
      <c r="E158" s="672" t="str">
        <f>Table_7_UK!$A$1&amp;" Head "&amp;Table_7_UK!A57&amp;" "&amp;Table_7_UK!A59&amp;" ("&amp;Table_7_UK!O3&amp;")"</f>
        <v>Table 7: Head 3b ii (Total expenditure)</v>
      </c>
      <c r="F158" s="672"/>
      <c r="G158" s="264" t="s">
        <v>238</v>
      </c>
      <c r="H158" s="260" t="str">
        <f>IF(Table_7_UK!O59=0,"FAIL","PASS")</f>
        <v>PASS</v>
      </c>
      <c r="I158" s="256" t="str">
        <f>IF(Table_7_UK!O59=0,"Head "&amp;Table_7_UK!A57&amp;" "&amp;Table_7_UK!A59&amp;" ("&amp;J158&amp;")","")</f>
        <v/>
      </c>
      <c r="J158" s="261">
        <f>Table_7_UK!O59</f>
        <v>19849</v>
      </c>
      <c r="K158" s="192">
        <f t="shared" si="8"/>
        <v>0</v>
      </c>
      <c r="L158" s="192">
        <f t="shared" si="9"/>
        <v>0</v>
      </c>
      <c r="M158" s="25"/>
      <c r="N158" s="25"/>
    </row>
    <row r="159" spans="1:14" customFormat="1" ht="30.5" customHeight="1" x14ac:dyDescent="0.35">
      <c r="A159" s="262" t="s">
        <v>503</v>
      </c>
      <c r="B159" s="671" t="s">
        <v>504</v>
      </c>
      <c r="C159" s="671"/>
      <c r="D159" s="671"/>
      <c r="E159" s="672" t="str">
        <f>Table_8_UK!$A$1&amp;" Head "&amp;Table_8_UK!A6&amp;" ("&amp;Table_8_UK!O3&amp;")"</f>
        <v>Table 8: Head 1a (Total actual spend)</v>
      </c>
      <c r="F159" s="672"/>
      <c r="G159" s="254" t="s">
        <v>238</v>
      </c>
      <c r="H159" s="255" t="str">
        <f>IF(Table_8_UK!O6&gt;=0,"PASS","FAIL")</f>
        <v>PASS</v>
      </c>
      <c r="I159" s="256" t="str">
        <f>IF(Table_8_UK!O6&gt;=0,"","Head "&amp;Table_8_UK!A6&amp;" ("&amp;J159&amp;")")</f>
        <v/>
      </c>
      <c r="J159" s="257">
        <f>Table_8_UK!O6</f>
        <v>38258</v>
      </c>
      <c r="K159" s="192">
        <f t="shared" si="8"/>
        <v>0</v>
      </c>
      <c r="L159" s="192">
        <f t="shared" si="9"/>
        <v>0</v>
      </c>
      <c r="M159" s="25"/>
      <c r="N159" s="25"/>
    </row>
    <row r="160" spans="1:14" customFormat="1" ht="30.5" customHeight="1" x14ac:dyDescent="0.35">
      <c r="A160" s="262" t="s">
        <v>505</v>
      </c>
      <c r="B160" s="671" t="s">
        <v>506</v>
      </c>
      <c r="C160" s="671"/>
      <c r="D160" s="671"/>
      <c r="E160" s="672" t="str">
        <f>Table_8_UK!$A$1&amp;" Head "&amp;Table_8_UK!A7&amp;" ("&amp;Table_8_UK!O3&amp;")"</f>
        <v>Table 8: Head 1b (Total actual spend)</v>
      </c>
      <c r="F160" s="672"/>
      <c r="G160" s="254" t="s">
        <v>238</v>
      </c>
      <c r="H160" s="255" t="str">
        <f>IF(Table_8_UK!O7&gt;=0,"PASS","FAIL")</f>
        <v>PASS</v>
      </c>
      <c r="I160" s="256" t="str">
        <f>IF(Table_8_UK!O7&gt;=0,"","Head "&amp;Table_8_UK!A7&amp;" ("&amp;J160&amp;")")</f>
        <v/>
      </c>
      <c r="J160" s="257">
        <f>Table_8_UK!O7</f>
        <v>0</v>
      </c>
      <c r="K160" s="192">
        <f t="shared" si="8"/>
        <v>0</v>
      </c>
      <c r="L160" s="192">
        <f t="shared" si="9"/>
        <v>0</v>
      </c>
      <c r="M160" s="25"/>
      <c r="N160" s="25"/>
    </row>
    <row r="161" spans="1:14" customFormat="1" ht="30.5" customHeight="1" x14ac:dyDescent="0.35">
      <c r="A161" s="262" t="s">
        <v>507</v>
      </c>
      <c r="B161" s="671" t="s">
        <v>508</v>
      </c>
      <c r="C161" s="671"/>
      <c r="D161" s="671"/>
      <c r="E161" s="672" t="str">
        <f>Table_8_UK!$A$1&amp;" Head "&amp;Table_8_UK!A11&amp;" ("&amp;Table_8_UK!O3&amp;")"</f>
        <v>Table 8: Head 2a (Total actual spend)</v>
      </c>
      <c r="F161" s="672"/>
      <c r="G161" s="254" t="s">
        <v>238</v>
      </c>
      <c r="H161" s="255" t="str">
        <f>IF(Table_8_UK!O11&gt;=0,"PASS","FAIL")</f>
        <v>PASS</v>
      </c>
      <c r="I161" s="256" t="str">
        <f>IF(Table_8_UK!O11&gt;=0,"","Head "&amp;Table_8_UK!A11&amp;" ("&amp;J161&amp;")")</f>
        <v/>
      </c>
      <c r="J161" s="257">
        <f>Table_8_UK!O11</f>
        <v>0</v>
      </c>
      <c r="K161" s="192">
        <f t="shared" si="8"/>
        <v>0</v>
      </c>
      <c r="L161" s="192">
        <f t="shared" si="9"/>
        <v>0</v>
      </c>
      <c r="M161" s="25"/>
      <c r="N161" s="25"/>
    </row>
    <row r="162" spans="1:14" customFormat="1" ht="30.5" customHeight="1" x14ac:dyDescent="0.35">
      <c r="A162" s="262" t="s">
        <v>509</v>
      </c>
      <c r="B162" s="671" t="s">
        <v>510</v>
      </c>
      <c r="C162" s="671"/>
      <c r="D162" s="671"/>
      <c r="E162" s="672" t="str">
        <f>Table_8_UK!$A$1&amp;" Head "&amp;Table_8_UK!A12&amp;" ("&amp;Table_8_UK!O3&amp;")"</f>
        <v>Table 8: Head 2b (Total actual spend)</v>
      </c>
      <c r="F162" s="672"/>
      <c r="G162" s="254" t="s">
        <v>238</v>
      </c>
      <c r="H162" s="255" t="str">
        <f>IF(Table_8_UK!O12&gt;=0,"PASS","FAIL")</f>
        <v>PASS</v>
      </c>
      <c r="I162" s="256" t="str">
        <f>IF(Table_8_UK!O12&gt;=0,"","Head "&amp;Table_8_UK!A12&amp;" ("&amp;J162&amp;")")</f>
        <v/>
      </c>
      <c r="J162" s="257">
        <f>Table_8_UK!O12</f>
        <v>589</v>
      </c>
      <c r="K162" s="192">
        <f t="shared" si="8"/>
        <v>0</v>
      </c>
      <c r="L162" s="192">
        <f t="shared" si="9"/>
        <v>0</v>
      </c>
      <c r="M162" s="25"/>
      <c r="N162" s="25"/>
    </row>
    <row r="163" spans="1:14" customFormat="1" ht="30.5" customHeight="1" x14ac:dyDescent="0.35">
      <c r="A163" s="262" t="s">
        <v>511</v>
      </c>
      <c r="B163" s="671" t="s">
        <v>512</v>
      </c>
      <c r="C163" s="671"/>
      <c r="D163" s="671"/>
      <c r="E163" s="672" t="str">
        <f>Table_8_UK!$A$1&amp;" Head "&amp;Table_8_UK!A16&amp;" ("&amp;Table_8_UK!O3&amp;")"</f>
        <v>Table 8: Head 3a (Total actual spend)</v>
      </c>
      <c r="F163" s="672"/>
      <c r="G163" s="254" t="s">
        <v>238</v>
      </c>
      <c r="H163" s="255" t="str">
        <f>IF(Table_8_UK!O16&gt;=0,"PASS","FAIL")</f>
        <v>PASS</v>
      </c>
      <c r="I163" s="256" t="str">
        <f>IF(Table_8_UK!O16&gt;=0,"","Head "&amp;Table_8_UK!A16&amp;" ("&amp;J163&amp;")")</f>
        <v/>
      </c>
      <c r="J163" s="257">
        <f>Table_8_UK!O16</f>
        <v>110374</v>
      </c>
      <c r="K163" s="192">
        <f t="shared" si="8"/>
        <v>0</v>
      </c>
      <c r="L163" s="192">
        <f t="shared" si="9"/>
        <v>0</v>
      </c>
      <c r="M163" s="25"/>
      <c r="N163" s="25"/>
    </row>
    <row r="164" spans="1:14" customFormat="1" ht="30.5" customHeight="1" x14ac:dyDescent="0.35">
      <c r="A164" s="262" t="s">
        <v>513</v>
      </c>
      <c r="B164" s="671" t="s">
        <v>514</v>
      </c>
      <c r="C164" s="671"/>
      <c r="D164" s="671"/>
      <c r="E164" s="672" t="str">
        <f>Table_8_UK!$A$1&amp;" Head "&amp;Table_8_UK!A17&amp;" ("&amp;Table_8_UK!O3&amp;")"</f>
        <v>Table 8: Head 3b (Total actual spend)</v>
      </c>
      <c r="F164" s="672"/>
      <c r="G164" s="254" t="s">
        <v>238</v>
      </c>
      <c r="H164" s="255" t="str">
        <f>IF(Table_8_UK!O17&gt;=0,"PASS","FAIL")</f>
        <v>PASS</v>
      </c>
      <c r="I164" s="256" t="str">
        <f>IF(Table_8_UK!O17&gt;=0,"","Head "&amp;Table_8_UK!A17&amp;" ("&amp;J164&amp;")")</f>
        <v/>
      </c>
      <c r="J164" s="257">
        <f>Table_8_UK!O17</f>
        <v>56591</v>
      </c>
      <c r="K164" s="192">
        <f t="shared" si="8"/>
        <v>0</v>
      </c>
      <c r="L164" s="192">
        <f t="shared" si="9"/>
        <v>0</v>
      </c>
      <c r="M164" s="25"/>
      <c r="N164" s="25"/>
    </row>
    <row r="165" spans="1:14" customFormat="1" ht="30.5" customHeight="1" x14ac:dyDescent="0.35">
      <c r="A165" s="262" t="s">
        <v>515</v>
      </c>
      <c r="B165" s="671" t="s">
        <v>516</v>
      </c>
      <c r="C165" s="671"/>
      <c r="D165" s="671"/>
      <c r="E165" s="672" t="str">
        <f>Table_8_UK!$A$1&amp;" Head "&amp;Table_8_UK!A20&amp;" ("&amp;Table_8_UK!O3&amp;")"</f>
        <v>Table 8: Head 4 (Total actual spend)</v>
      </c>
      <c r="F165" s="672"/>
      <c r="G165" s="254" t="s">
        <v>238</v>
      </c>
      <c r="H165" s="255" t="str">
        <f>IF(Table_8_UK!O20&gt;=0,"PASS","FAIL")</f>
        <v>PASS</v>
      </c>
      <c r="I165" s="256" t="str">
        <f>IF(Table_8_UK!O20&gt;=0,"","Head "&amp;Table_8_UK!A20&amp;" ("&amp;J165&amp;")")</f>
        <v/>
      </c>
      <c r="J165" s="257">
        <f>Table_8_UK!O20</f>
        <v>206658</v>
      </c>
      <c r="K165" s="192">
        <f t="shared" si="8"/>
        <v>0</v>
      </c>
      <c r="L165" s="192">
        <f t="shared" si="9"/>
        <v>0</v>
      </c>
      <c r="M165" s="25"/>
      <c r="N165" s="25"/>
    </row>
    <row r="166" spans="1:14" customFormat="1" ht="30.5" customHeight="1" x14ac:dyDescent="0.35">
      <c r="A166" s="262" t="s">
        <v>517</v>
      </c>
      <c r="B166" s="671" t="s">
        <v>518</v>
      </c>
      <c r="C166" s="671"/>
      <c r="D166" s="671"/>
      <c r="E166" s="672" t="str">
        <f>Table_8_UK!$A$1&amp;" Head "&amp;Table_8_UK!A6&amp;", "&amp;Table_8_UK!A7&amp;", "&amp;Table_8_UK!A11&amp;", "&amp;Table_8_UK!A12&amp;", "&amp;Table_8_UK!A16&amp;", "&amp;Table_8_UK!A17&amp;" ("&amp;Table_8_UK!O3&amp;")"</f>
        <v>Table 8: Head 1a, 1b, 2a, 2b, 3a, 3b (Total actual spend)</v>
      </c>
      <c r="F166" s="672"/>
      <c r="G166" s="254" t="s">
        <v>233</v>
      </c>
      <c r="H166" s="270" t="str">
        <f>IF(OR(Table_8_UK!O6&gt;400000,Table_8_UK!O7&gt;400000,Table_8_UK!O11&gt;400000,Table_8_UK!O12&gt;400000,Table_8_UK!O16&gt;400000,Table_8_UK!O17&gt;400000),"FAIL","PASS")</f>
        <v>PASS</v>
      </c>
      <c r="I166" s="139" t="str">
        <f>IF(OR(Table_8_UK!O6&gt;400000,Table_8_UK!O7&gt;400000,Table_8_UK!O11&gt;400000,Table_8_UK!O12&gt;400000,Table_8_UK!O16&gt;400000,Table_8_UK!O17&gt;400000),"Head "&amp;Table_8_UK!A6&amp;" ("&amp;Table_8_UK!O6&amp;")"&amp;","&amp;Table_8_UK!A7&amp;" ("&amp;Table_8_UK!O7&amp;")"&amp;","&amp;Table_8_UK!A11&amp;" ("&amp;Table_8_UK!O11&amp;")"&amp;","&amp;Table_8_UK!A12&amp;" ("&amp;Table_8_UK!O12&amp;")"&amp;", "&amp;Table_8_UK!A16&amp;" ("&amp;Table_8_UK!O16&amp;")"&amp;", "&amp;Table_8_UK!A17&amp;" ("&amp;Table_8_UK!O17&amp;")","")</f>
        <v/>
      </c>
      <c r="J166" s="257" t="str">
        <f>Table_8_UK!O6&amp;", "&amp;Table_8_UK!O7&amp;", "&amp;Table_8_UK!O11&amp;", "&amp;Table_8_UK!O12&amp;", "&amp;Table_8_UK!O16&amp;", "&amp;Table_8_UK!O17</f>
        <v>38258, 0, 0, 589, 110374, 56591</v>
      </c>
      <c r="K166" s="192">
        <f t="shared" si="8"/>
        <v>0</v>
      </c>
      <c r="L166" s="192">
        <f t="shared" si="9"/>
        <v>0</v>
      </c>
      <c r="M166" s="25"/>
      <c r="N166" s="25"/>
    </row>
    <row r="167" spans="1:14" customFormat="1" ht="30.5" customHeight="1" x14ac:dyDescent="0.35">
      <c r="A167" s="262" t="s">
        <v>519</v>
      </c>
      <c r="B167" s="671" t="s">
        <v>520</v>
      </c>
      <c r="C167" s="671"/>
      <c r="D167" s="671"/>
      <c r="E167" s="672" t="str">
        <f>Table_8_UK!$A$1&amp;" Head "&amp;Table_8_UK!A6&amp;", "&amp;Table_8_UK!A7&amp;" ("&amp;Table_8_UK!H3&amp;")"</f>
        <v>Table 8: Head 1a, 1b (Funding body grants)</v>
      </c>
      <c r="F167" s="672"/>
      <c r="G167" s="255" t="s">
        <v>238</v>
      </c>
      <c r="H167" s="255" t="str">
        <f>IF(AND(Table_8_UK!H6=0,Table_8_UK!H7=0),"PASS","FAIL")</f>
        <v>PASS</v>
      </c>
      <c r="I167" s="256" t="str">
        <f>IF(AND(Table_8_UK!H6=0,Table_8_UK!H7=0),"","Head "&amp;Table_8_UK!A6&amp;", "&amp;Table_8_UK!A7&amp;" ("&amp;J167&amp;")")</f>
        <v/>
      </c>
      <c r="J167" s="257" t="str">
        <f>Table_8_UK!H6&amp;", "&amp;Table_8_UK!H7</f>
        <v>0, 0</v>
      </c>
      <c r="K167" s="192">
        <f t="shared" si="8"/>
        <v>0</v>
      </c>
      <c r="L167" s="192">
        <f t="shared" si="9"/>
        <v>0</v>
      </c>
      <c r="M167" s="25"/>
      <c r="N167" s="25"/>
    </row>
    <row r="168" spans="1:14" customFormat="1" ht="30.5" customHeight="1" x14ac:dyDescent="0.35">
      <c r="A168" s="262" t="s">
        <v>521</v>
      </c>
      <c r="B168" s="671" t="s">
        <v>522</v>
      </c>
      <c r="C168" s="671"/>
      <c r="D168" s="671"/>
      <c r="E168" s="672" t="str">
        <f>Table_8_UK!$A$1&amp;" Head "&amp;Table_8_UK!A11&amp;", "&amp;Table_8_UK!A12&amp;" ("&amp;Table_8_UK!H3&amp;")"</f>
        <v>Table 8: Head 2a, 2b (Funding body grants)</v>
      </c>
      <c r="F168" s="672"/>
      <c r="G168" s="255" t="s">
        <v>238</v>
      </c>
      <c r="H168" s="255" t="str">
        <f>IF(AND(Table_8_UK!H11=0,Table_8_UK!H12=0),"PASS","FAIL")</f>
        <v>PASS</v>
      </c>
      <c r="I168" s="256" t="str">
        <f>IF(AND(Table_8_UK!H11=0,Table_8_UK!H12=0),"","Head "&amp;Table_8_UK!A11&amp;", "&amp;Table_8_UK!A12&amp;" ("&amp;J168&amp;")")</f>
        <v/>
      </c>
      <c r="J168" s="257" t="str">
        <f>Table_8_UK!H11&amp;", "&amp;Table_8_UK!H12</f>
        <v>0, 0</v>
      </c>
      <c r="K168" s="192">
        <f t="shared" si="8"/>
        <v>0</v>
      </c>
      <c r="L168" s="192">
        <f t="shared" si="9"/>
        <v>0</v>
      </c>
      <c r="M168" s="25"/>
      <c r="N168" s="25"/>
    </row>
    <row r="169" spans="1:14" customFormat="1" ht="30.5" customHeight="1" x14ac:dyDescent="0.35">
      <c r="A169" s="262" t="s">
        <v>523</v>
      </c>
      <c r="B169" s="671" t="s">
        <v>524</v>
      </c>
      <c r="C169" s="671"/>
      <c r="D169" s="671"/>
      <c r="E169" s="672" t="str">
        <f>Table_8_UK!$A$1&amp;" Head "&amp;Table_8_UK!A20&amp;" ("&amp;Table_8_UK!H3&amp;")"&amp;", "&amp;Table_6_Wales!$A$1&amp;" Head "&amp;Table_6_Wales!A12&amp;", "&amp;Table_6_Wales!A13</f>
        <v>Table 8: Head 4 (Funding body grants), Table 6_W: Head 1g, 1h</v>
      </c>
      <c r="F169" s="672"/>
      <c r="G169" s="255" t="s">
        <v>238</v>
      </c>
      <c r="H169" s="260" t="str">
        <f>IF(AND($B$4="W",OR(Table_6_Wales!H12&gt;0,Table_6_Wales!H13&gt;0),Table_8_UK!H20=0),"FAIL","PASS")</f>
        <v>PASS</v>
      </c>
      <c r="I169" s="256" t="str">
        <f>IF(AND($B$4="W",OR(Table_6_Wales!H12&gt;0,Table_6_Wales!H13&gt;0),Table_8_UK!H20=0),Table_8_UK!$A$1&amp;" Head "&amp;Table_8_UK!A20&amp;" ("&amp;Table_8_UK!H20&amp;")"&amp;", "&amp;Table_6_Wales!$A$1&amp;" Head "&amp;Table_6_Wales!A12&amp;", "&amp;Table_6_Wales!A13&amp;" ("&amp;Table_6_UK!H12&amp;", "&amp;Table_6_Wales!H13&amp;")","")</f>
        <v/>
      </c>
      <c r="J169" s="257" t="str">
        <f>Table_8_UK!H20&amp;", "&amp;Table_6_Wales!H12&amp;", "&amp;Table_6_Wales!H13</f>
        <v>17415, 0, 0</v>
      </c>
      <c r="K169" s="192">
        <f t="shared" si="8"/>
        <v>0</v>
      </c>
      <c r="L169" s="192">
        <f t="shared" si="9"/>
        <v>0</v>
      </c>
      <c r="M169" s="25"/>
      <c r="N169" s="25"/>
    </row>
    <row r="170" spans="1:14" customFormat="1" ht="30.5" customHeight="1" x14ac:dyDescent="0.35">
      <c r="A170" s="262" t="s">
        <v>525</v>
      </c>
      <c r="B170" s="671" t="s">
        <v>526</v>
      </c>
      <c r="C170" s="671"/>
      <c r="D170" s="671"/>
      <c r="E170" s="672" t="str">
        <f>Table_8_UK!$A$1&amp;" Head "&amp;Table_8_UK!A20&amp;" ("&amp;Table_8_UK!H3&amp;")"&amp;", "&amp;Table_6_Scotland!$A$1&amp;" Head "&amp;Table_6_Scotland!A11</f>
        <v>Table 8: Head 4 (Funding body grants), Table 6_S: Head 1f</v>
      </c>
      <c r="F170" s="672"/>
      <c r="G170" s="255" t="s">
        <v>238</v>
      </c>
      <c r="H170" s="260" t="str">
        <f>IF(AND($B$4="S",Table_6_Scotland!H11,Table_8_UK!H20=0),"FAIL","PASS")</f>
        <v>PASS</v>
      </c>
      <c r="I170" s="256" t="str">
        <f>IF(AND($B$4="S",Table_6_Scotland!H11,Table_8_UK!H20=0),Table_8_UK!$A$1&amp;" Head "&amp;Table_8_UK!A20&amp;" ("&amp;Table_8_UK!H20&amp;")"&amp;", "&amp;Table_6_Scotland!$A$1&amp;" Head "&amp;Table_6_Scotland!A11&amp;" ("&amp;Table_6_Scotland!H11&amp;")","")</f>
        <v/>
      </c>
      <c r="J170" s="257" t="str">
        <f>Table_8_UK!H20&amp;", "&amp;Table_6_Scotland!H11</f>
        <v>17415, 17416</v>
      </c>
      <c r="K170" s="192">
        <f t="shared" si="8"/>
        <v>0</v>
      </c>
      <c r="L170" s="192">
        <f t="shared" si="9"/>
        <v>0</v>
      </c>
      <c r="M170" s="25"/>
      <c r="N170" s="25"/>
    </row>
    <row r="171" spans="1:14" customFormat="1" ht="30.5" customHeight="1" x14ac:dyDescent="0.35">
      <c r="A171" s="262" t="s">
        <v>527</v>
      </c>
      <c r="B171" s="671" t="s">
        <v>528</v>
      </c>
      <c r="C171" s="671"/>
      <c r="D171" s="671"/>
      <c r="E171" s="672" t="str">
        <f>Table_8_UK!$A$1&amp;" Head "&amp;Table_8_UK!A20&amp;" ("&amp;Table_8_UK!H3&amp;")"&amp;", "&amp;Table_6_N_Ireland!$A$1&amp;" Head "&amp;Table_6_N_Ireland!A9</f>
        <v>Table 8: Head 4 (Funding body grants), Table 6_NI: Head 1d</v>
      </c>
      <c r="F171" s="672"/>
      <c r="G171" s="255" t="s">
        <v>238</v>
      </c>
      <c r="H171" s="260" t="str">
        <f>IF(AND($B$4="N",Table_6_N_Ireland!H9&gt;0,Table_8_UK!H20=0),"FAIL","PASS")</f>
        <v>PASS</v>
      </c>
      <c r="I171" s="256" t="str">
        <f>IF(AND($B$4="N",Table_6_N_Ireland!H9&gt;0,Table_8_UK!H20=0),Table_8_UK!$A$1&amp;" Head "&amp;Table_8_UK!A20&amp;" ("&amp;Table_8_UK!H20&amp;")"&amp;", "&amp;Table_6_N_Ireland!$A$1&amp;" Head "&amp;Table_6_N_Ireland!A9&amp;" ("&amp;Table_6_N_Ireland!H9&amp;")","")</f>
        <v/>
      </c>
      <c r="J171" s="257" t="str">
        <f>Table_8_UK!H20&amp;", "&amp;Table_6_N_Ireland!H9</f>
        <v>17415, 0</v>
      </c>
      <c r="K171" s="192">
        <f t="shared" si="8"/>
        <v>0</v>
      </c>
      <c r="L171" s="192">
        <f t="shared" si="9"/>
        <v>0</v>
      </c>
      <c r="M171" s="25"/>
      <c r="N171" s="25"/>
    </row>
    <row r="172" spans="1:14" customFormat="1" ht="30.5" customHeight="1" x14ac:dyDescent="0.35">
      <c r="A172" s="262" t="s">
        <v>529</v>
      </c>
      <c r="B172" s="671" t="s">
        <v>530</v>
      </c>
      <c r="C172" s="671"/>
      <c r="D172" s="671"/>
      <c r="E172" s="672" t="str">
        <f>Table_8_UK!$A$1&amp;" Head "&amp;Table_8_UK!A20&amp;" ("&amp;Table_8_UK!K3&amp;")"&amp;", "&amp;Table_3_UK!$A$1&amp;" Head "&amp;Table_3_UK!A57&amp;", "&amp;Table_3_UK!A58</f>
        <v>Table 8: Head 4 (Loans), Table 3: Head 8e, 8f</v>
      </c>
      <c r="F172" s="672"/>
      <c r="G172" s="255" t="s">
        <v>238</v>
      </c>
      <c r="H172" s="260" t="str">
        <f>IF(AND(Table_3_UK!H57+Table_3_UK!H58&gt;0,Table_8_UK!K20=0),"FAIL","PASS")</f>
        <v>PASS</v>
      </c>
      <c r="I172" s="256" t="str">
        <f>IF(AND(Table_3_UK!H57+Table_3_UK!H58&gt;0,Table_8_UK!K20=0),Table_8_UK!$A$1&amp;" Head "&amp;Table_8_UK!A20&amp;" ("&amp;Table_8_UK!K20&amp;")"&amp;", "&amp;Table_3_UK!$A$1&amp;" Head "&amp;Table_3_UK!A57&amp;", "&amp;Table_3_UK!A58&amp;" ("&amp;Table_3_UK!H57&amp;", "&amp;Table_3_UK!H58&amp;")","")</f>
        <v/>
      </c>
      <c r="J172" s="257" t="str">
        <f>Table_3_UK!H57&amp;", "&amp;Table_3_UK!H58</f>
        <v>0, 0</v>
      </c>
      <c r="K172" s="192">
        <f t="shared" si="8"/>
        <v>0</v>
      </c>
      <c r="L172" s="192">
        <f t="shared" si="9"/>
        <v>0</v>
      </c>
      <c r="M172" s="25"/>
      <c r="N172" s="25"/>
    </row>
    <row r="173" spans="1:14" customFormat="1" ht="30.5" customHeight="1" x14ac:dyDescent="0.35">
      <c r="A173" s="262" t="s">
        <v>531</v>
      </c>
      <c r="B173" s="671" t="s">
        <v>532</v>
      </c>
      <c r="C173" s="671"/>
      <c r="D173" s="671"/>
      <c r="E173" s="672" t="str">
        <f>Table_9_UK!$A$1&amp;" Head "&amp;Table_9_UK!A6&amp;", "&amp;Table_9_UK!A7&amp;", "&amp;Table_9_UK!A8&amp;", "&amp;Table_9_UK!A9&amp;", "&amp;Table_9_UK!A10&amp;", "&amp;Table_9_UK!A11&amp;", "&amp;Table_9_UK!A15&amp;", "&amp;Table_9_UK!A16&amp;", "&amp;Table_9_UK!A17&amp;", "&amp;Table_9_UK!A18&amp;", "&amp;Table_9_UK!A19&amp;", "&amp;Table_9_UK!A24&amp;", "&amp;Table_9_UK!A26&amp;", "&amp;Table_9_UK!A27&amp;", "&amp;Table_9_UK!A28&amp;", "&amp;Table_9_UK!A32&amp;Table_9_UK!A36&amp;", "&amp;Table_9_UK!A37&amp;", "&amp;Table_9_UK!A38&amp;", "&amp;Table_9_UK!A39&amp;", "&amp;Table_9_UK!A44&amp;", "&amp;Table_9_UK!A45&amp;", "&amp;Table_9_UK!A46&amp;", "&amp;Table_9_UK!A47&amp;", "&amp;Table_9_UK!A49&amp;", "&amp;Table_9_UK!A53&amp;", "&amp;Table_9_UK!A54</f>
        <v>Table 9: Head 1a, 1b, 1c, 1d, 1e, 1f, 2a, 2b, 2c, 2d, 2e, 4, 6, 7, 8, 1012, 13, 14, 15, 17a, 17b, 17c, 17d, 17f, 18a, 18b</v>
      </c>
      <c r="F173" s="672"/>
      <c r="G173" s="255" t="s">
        <v>238</v>
      </c>
      <c r="H173" s="260" t="str">
        <f>IF(OR(AND(SUM(Table_9_UK!H6)&lt;&gt;0,ISBLANK(Table_9_UK!K6)),AND(SUM(Table_9_UK!H7)&lt;&gt;0,ISBLANK(Table_9_UK!K7)),AND(SUM(Table_9_UK!H8)&lt;&gt;0,ISBLANK(Table_9_UK!K8)),AND(SUM(Table_9_UK!H9)&lt;&gt;0,ISBLANK(Table_9_UK!K9)),AND(SUM(Table_9_UK!H10)&lt;&gt;0,ISBLANK(Table_9_UK!K10)),AND(SUM(Table_9_UK!H11)&lt;&gt;0,ISBLANK(Table_9_UK!K11)),AND(SUM(Table_9_UK!H15)&lt;&gt;0,ISBLANK(Table_9_UK!K15)),AND(SUM(Table_9_UK!H16)&lt;&gt;0,ISBLANK(Table_9_UK!K16)),AND(SUM(Table_9_UK!H17)&lt;&gt;0,ISBLANK(Table_9_UK!K17)),AND(SUM(Table_9_UK!H18)&lt;&gt;0,ISBLANK(Table_9_UK!K18)),AND(SUM(Table_9_UK!H19)&lt;&gt;0,ISBLANK(Table_9_UK!K19)),AND(SUM(Table_9_UK!H24)&lt;&gt;0,ISBLANK(Table_9_UK!K24)),AND(SUM(Table_9_UK!H26)&lt;&gt;0,ISBLANK(Table_9_UK!K26)),AND(SUM(Table_9_UK!H27)&lt;&gt;0,ISBLANK(Table_9_UK!K27)),AND(SUM(Table_9_UK!H28)&lt;&gt;0,ISBLANK(Table_9_UK!K28)),AND(SUM(Table_9_UK!H32)&lt;&gt;0,ISBLANK(Table_9_UK!K32)),AND(SUM(Table_9_UK!H36)&lt;&gt;0,ISBLANK(Table_9_UK!K36)),AND(SUM(Table_9_UK!H37)&lt;&gt;0,ISBLANK(Table_9_UK!K37)),AND(SUM(Table_9_UK!H38)&lt;&gt;0,ISBLANK(Table_9_UK!K38)),AND(SUM(Table_9_UK!H39)&lt;&gt;0,ISBLANK(Table_9_UK!K39)),AND(SUM(Table_9_UK!H44)&lt;&gt;0,ISBLANK(Table_9_UK!K44)),AND(SUM(Table_9_UK!H45)&lt;&gt;0,ISBLANK(Table_9_UK!K45)),AND(SUM(Table_9_UK!H46)&lt;&gt;0,ISBLANK(Table_9_UK!K46)),AND(SUM(Table_9_UK!H47)&lt;&gt;0,ISBLANK(Table_9_UK!K47)),AND(SUM(Table_9_UK!H49)&lt;&gt;0,ISBLANK(Table_9_UK!K49)),AND(SUM(Table_9_UK!H53)&lt;&gt;0,ISBLANK(Table_9_UK!K53)),AND(SUM(Table_9_UK!H54)&lt;&gt;0,ISBLANK(Table_9_UK!K54))),"FAIL","PASS")</f>
        <v>PASS</v>
      </c>
      <c r="I173" s="139" t="str">
        <f>IF(OR(AND(SUM(Table_9_UK!H6)&lt;&gt;0,ISBLANK(Table_9_UK!K6)),AND(SUM(Table_9_UK!H7)&lt;&gt;0,ISBLANK(Table_9_UK!K7)),AND(SUM(Table_9_UK!H8)&lt;&gt;0,ISBLANK(Table_9_UK!K8)),AND(SUM(Table_9_UK!H9)&lt;&gt;0,ISBLANK(Table_9_UK!K9)),AND(SUM(Table_9_UK!H10)&lt;&gt;0,ISBLANK(Table_9_UK!K10)),AND(SUM(Table_9_UK!H11)&lt;&gt;0,ISBLANK(Table_9_UK!K11)),AND(SUM(Table_9_UK!H15)&lt;&gt;0,ISBLANK(Table_9_UK!K15)),AND(SUM(Table_9_UK!H16)&lt;&gt;0,ISBLANK(Table_9_UK!K16)),AND(SUM(Table_9_UK!H17)&lt;&gt;0,ISBLANK(Table_9_UK!K17)),AND(SUM(Table_9_UK!H18)&lt;&gt;0,ISBLANK(Table_9_UK!K18)),AND(SUM(Table_9_UK!H19)&lt;&gt;0,ISBLANK(Table_9_UK!K19)),AND(SUM(Table_9_UK!H24)&lt;&gt;0,ISBLANK(Table_9_UK!K24)),AND(SUM(Table_9_UK!H26)&lt;&gt;0,ISBLANK(Table_9_UK!K26)),AND(SUM(Table_9_UK!H27)&lt;&gt;0,ISBLANK(Table_9_UK!K27)),AND(SUM(Table_9_UK!H28)&lt;&gt;0,ISBLANK(Table_9_UK!K28)),AND(SUM(Table_9_UK!H32)&lt;&gt;0,ISBLANK(Table_9_UK!K32)),AND(SUM(Table_9_UK!H36)&lt;&gt;0,ISBLANK(Table_9_UK!K36)),AND(SUM(Table_9_UK!H37)&lt;&gt;0,ISBLANK(Table_9_UK!K37)),AND(SUM(Table_9_UK!H38)&lt;&gt;0,ISBLANK(Table_9_UK!K38)),AND(SUM(Table_9_UK!H39)&lt;&gt;0,ISBLANK(Table_9_UK!K39)),AND(SUM(Table_9_UK!H44)&lt;&gt;0,ISBLANK(Table_9_UK!K44)),AND(SUM(Table_9_UK!H45)&lt;&gt;0,ISBLANK(Table_9_UK!K45)),AND(SUM(Table_9_UK!H46)&lt;&gt;0,ISBLANK(Table_9_UK!K46)),AND(SUM(Table_9_UK!H47)&lt;&gt;0,ISBLANK(Table_9_UK!K47)),AND(SUM(Table_9_UK!H49)&lt;&gt;0,ISBLANK(Table_9_UK!K49)),AND(SUM(Table_9_UK!H53)&lt;&gt;0,ISBLANK(Table_9_UK!K53)),AND(SUM(Table_9_UK!H54)&lt;&gt;0,ISBLANK(Table_9_UK!K54))),J173,"")</f>
        <v/>
      </c>
      <c r="J173" s="257" t="str">
        <f>CONCATENATE(Table_9_UK!Q6,Table_9_UK!Q7,Table_9_UK!Q8,Table_9_UK!Q9,Table_9_UK!Q10,Table_9_UK!Q11,Table_9_UK!Q15,Table_9_UK!Q16,Table_9_UK!Q17,Table_9_UK!Q18,Table_9_UK!Q19,Table_9_UK!Q24,Table_9_UK!Q26,Table_9_UK!Q27,Table_9_UK!Q28,Table_9_UK!Q32,Table_9_UK!Q36,Table_9_UK!Q37,Table_9_UK!Q38,Table_9_UK!Q39,Table_9_UK!Q44,Table_9_UK!Q45,Table_9_UK!Q46,Table_9_UK!Q47,Table_9_UK!Q49,Table_9_UK!Q53,Table_9_UK!Q54)</f>
        <v/>
      </c>
      <c r="K173" s="192">
        <f t="shared" si="8"/>
        <v>0</v>
      </c>
      <c r="L173" s="192">
        <f t="shared" si="9"/>
        <v>0</v>
      </c>
      <c r="M173" s="25"/>
      <c r="N173" s="25"/>
    </row>
    <row r="174" spans="1:14" customFormat="1" ht="30.5" customHeight="1" x14ac:dyDescent="0.35">
      <c r="A174" s="262" t="s">
        <v>533</v>
      </c>
      <c r="B174" s="671" t="s">
        <v>534</v>
      </c>
      <c r="C174" s="671"/>
      <c r="D174" s="671"/>
      <c r="E174" s="672" t="str">
        <f>Table_9_UK!$A$1&amp;" Head "&amp;Table_9_UK!A6&amp;", "&amp;Table_9_UK!A7&amp;", "&amp;Table_9_UK!A8&amp;", "&amp;Table_9_UK!A9&amp;", "&amp;Table_9_UK!A10&amp;", "&amp;Table_9_UK!A11&amp;", "&amp;Table_9_UK!A15&amp;", "&amp;Table_9_UK!A16&amp;", "&amp;Table_9_UK!A17&amp;", "&amp;Table_9_UK!A18&amp;", "&amp;Table_9_UK!A19&amp;", "&amp;Table_9_UK!A24&amp;", "&amp;Table_9_UK!A26&amp;", "&amp;Table_9_UK!A27&amp;", "&amp;Table_9_UK!A28&amp;", "&amp;Table_9_UK!A32&amp;", "&amp;Table_9_UK!A36&amp;", "&amp;Table_9_UK!A37&amp;", "&amp;Table_9_UK!A38&amp;", "&amp;Table_9_UK!A39&amp;", "&amp;Table_9_UK!A44&amp;", "&amp;Table_9_UK!A45&amp;", "&amp;Table_9_UK!A46&amp;", "&amp;Table_9_UK!A47&amp;", "&amp;Table_9_UK!A49&amp;", "&amp;Table_9_UK!A53&amp;", "&amp;Table_9_UK!A54</f>
        <v>Table 9: Head 1a, 1b, 1c, 1d, 1e, 1f, 2a, 2b, 2c, 2d, 2e, 4, 6, 7, 8, 10, 12, 13, 14, 15, 17a, 17b, 17c, 17d, 17f, 18a, 18b</v>
      </c>
      <c r="F174" s="672"/>
      <c r="G174" s="255" t="s">
        <v>238</v>
      </c>
      <c r="H174" s="260" t="str">
        <f>IF(OR(AND(SUM(Table_9_UK!H6)=0,NOT(ISBLANK(Table_9_UK!K6))),AND(SUM(Table_9_UK!H7)=0,NOT(ISBLANK(Table_9_UK!K7))),AND(SUM(Table_9_UK!H8)=0,NOT(ISBLANK(Table_9_UK!K8))),AND(SUM(Table_9_UK!H9)=0,NOT(ISBLANK(Table_9_UK!K9))),AND(SUM(Table_9_UK!H10)=0,NOT(ISBLANK(Table_9_UK!K10))),AND(SUM(Table_9_UK!H11)=0,NOT(ISBLANK(Table_9_UK!K11))),AND(SUM(Table_9_UK!H15)=0,NOT(ISBLANK(Table_9_UK!K15))),AND(SUM(Table_9_UK!H16)=0,NOT(ISBLANK(Table_9_UK!K16))),AND(SUM(Table_9_UK!H17)=0,NOT(ISBLANK(Table_9_UK!K17))),AND(SUM(Table_9_UK!H18)=0,NOT(ISBLANK(Table_9_UK!K18))),AND(SUM(Table_9_UK!H19)=0,NOT(ISBLANK(Table_9_UK!K19))),AND(SUM(Table_9_UK!H24)=0,NOT(ISBLANK(Table_9_UK!K24))),AND(SUM(Table_9_UK!H26)=0,NOT(ISBLANK(Table_9_UK!K26))),AND(SUM(Table_9_UK!H27)=0,NOT(ISBLANK(Table_9_UK!K27))),AND(SUM(Table_9_UK!H28)=0,NOT(ISBLANK(Table_9_UK!K28))),AND(SUM(Table_9_UK!H32)=0,NOT(ISBLANK(Table_9_UK!K32))),AND(SUM(Table_9_UK!H36)=0,NOT(ISBLANK(Table_9_UK!K36))),AND(SUM(Table_9_UK!H37)=0,NOT(ISBLANK(Table_9_UK!K37))),AND(SUM(Table_9_UK!H38)=0,NOT(ISBLANK(Table_9_UK!K38))),AND(SUM(Table_9_UK!H39)=0,NOT(ISBLANK(Table_9_UK!K39))),AND(SUM(Table_9_UK!H44)=0,NOT(ISBLANK(Table_9_UK!K44))),AND(SUM(Table_9_UK!H45)=0,NOT(ISBLANK(Table_9_UK!K45))),AND(SUM(Table_9_UK!H46)=0,NOT(ISBLANK(Table_9_UK!K46))),AND(SUM(Table_9_UK!H47)=0,NOT(ISBLANK(Table_9_UK!K47))),AND(SUM(Table_9_UK!H49)=0,NOT(ISBLANK(Table_9_UK!K49))),AND(SUM(Table_9_UK!H53)=0,NOT(ISBLANK(Table_9_UK!K53))),AND(SUM(Table_9_UK!H54)=0,NOT(ISBLANK(Table_9_UK!K54)))), "FAIL","PASS")</f>
        <v>PASS</v>
      </c>
      <c r="I174" s="139" t="str">
        <f>IF(OR(AND(SUM(Table_9_UK!H6)=0,NOT(ISBLANK(Table_9_UK!K6))),AND(SUM(Table_9_UK!H7)=0,NOT(ISBLANK(Table_9_UK!K7))),AND(SUM(Table_9_UK!H8)=0,NOT(ISBLANK(Table_9_UK!K8))),AND(SUM(Table_9_UK!H9)=0,NOT(ISBLANK(Table_9_UK!K9))),AND(SUM(Table_9_UK!H10)=0,NOT(ISBLANK(Table_9_UK!K10))),AND(SUM(Table_9_UK!H11)=0,NOT(ISBLANK(Table_9_UK!K11))),AND(SUM(Table_9_UK!H15)=0,NOT(ISBLANK(Table_9_UK!K15))),AND(SUM(Table_9_UK!H16)=0,NOT(ISBLANK(Table_9_UK!K16))),AND(SUM(Table_9_UK!H17)=0,NOT(ISBLANK(Table_9_UK!K17))),AND(SUM(Table_9_UK!H18)=0,NOT(ISBLANK(Table_9_UK!K18))),AND(SUM(Table_9_UK!H19)=0,NOT(ISBLANK(Table_9_UK!K19))),AND(SUM(Table_9_UK!H24)=0,NOT(ISBLANK(Table_9_UK!K24))),AND(SUM(Table_9_UK!H26)=0,NOT(ISBLANK(Table_9_UK!K26))),AND(SUM(Table_9_UK!H27)=0,NOT(ISBLANK(Table_9_UK!K27))),AND(SUM(Table_9_UK!H28)=0,NOT(ISBLANK(Table_9_UK!K28))),AND(SUM(Table_9_UK!H32)=0,NOT(ISBLANK(Table_9_UK!K32))),AND(SUM(Table_9_UK!H36)=0,NOT(ISBLANK(Table_9_UK!K36))),AND(SUM(Table_9_UK!H37)=0,NOT(ISBLANK(Table_9_UK!K37))),AND(SUM(Table_9_UK!H38)=0,NOT(ISBLANK(Table_9_UK!K38))),AND(SUM(Table_9_UK!H39)=0,NOT(ISBLANK(Table_9_UK!K39))),AND(SUM(Table_9_UK!H44)=0,NOT(ISBLANK(Table_9_UK!K44))),AND(SUM(Table_9_UK!H45)=0,NOT(ISBLANK(Table_9_UK!K45))),AND(SUM(Table_9_UK!H46)=0,NOT(ISBLANK(Table_9_UK!K46))),AND(SUM(Table_9_UK!H47)=0,NOT(ISBLANK(Table_9_UK!K47))),AND(SUM(Table_9_UK!H49)=0,NOT(ISBLANK(Table_9_UK!K49))),AND(SUM(Table_9_UK!H53)=0,NOT(ISBLANK(Table_9_UK!K53))),AND(SUM(Table_9_UK!H54)=0,NOT(ISBLANK(Table_9_UK!K54)))), J174,"")</f>
        <v/>
      </c>
      <c r="J174" s="257" t="str">
        <f>CONCATENATE(Table_9_UK!T6,Table_9_UK!T7,Table_9_UK!T8,Table_9_UK!T9,Table_9_UK!T10,Table_9_UK!T11,Table_9_UK!T15,Table_9_UK!T16,Table_9_UK!T17,Table_9_UK!T18,Table_9_UK!T19,Table_9_UK!T24,Table_9_UK!T26,Table_9_UK!T27,Table_9_UK!T28,Table_9_UK!T32,Table_9_UK!T36,Table_9_UK!T37,Table_9_UK!T38,Table_9_UK!T39,Table_9_UK!T44,Table_9_UK!T45,Table_9_UK!T46,Table_9_UK!T47,Table_9_UK!T49,Table_9_UK!T53,Table_9_UK!T54)</f>
        <v/>
      </c>
      <c r="K174" s="192">
        <f t="shared" si="8"/>
        <v>0</v>
      </c>
      <c r="L174" s="192">
        <f t="shared" si="9"/>
        <v>0</v>
      </c>
      <c r="M174" s="25"/>
      <c r="N174" s="25"/>
    </row>
    <row r="175" spans="1:14" customFormat="1" ht="30.5" customHeight="1" x14ac:dyDescent="0.35">
      <c r="A175" s="262" t="s">
        <v>535</v>
      </c>
      <c r="B175" s="671" t="s">
        <v>536</v>
      </c>
      <c r="C175" s="671"/>
      <c r="D175" s="671"/>
      <c r="E175" s="672" t="str">
        <f>Table_9_UK!$A$1&amp;" Head "&amp;Table_9_UK!A6&amp;", "&amp;Table_9_UK!A7&amp;", "&amp;Table_9_UK!A8&amp;", "&amp;Table_9_UK!A9&amp;", "&amp;Table_9_UK!A10&amp;", "&amp;Table_9_UK!A11&amp;", "&amp;Table_9_UK!A15&amp;", "&amp;Table_9_UK!A16&amp;", "&amp;Table_9_UK!A17&amp;", "&amp;Table_9_UK!A18&amp;", "&amp;Table_9_UK!A19&amp;", "&amp;Table_9_UK!A24&amp;", "&amp;Table_9_UK!A26&amp;", "&amp;Table_9_UK!A27&amp;", "&amp;Table_9_UK!A28&amp;", "&amp;Table_9_UK!A32&amp;", "&amp;Table_9_UK!A36&amp;", "&amp;Table_9_UK!A37&amp;", "&amp;Table_9_UK!A38&amp;", "&amp;Table_9_UK!A39&amp;", "&amp;Table_9_UK!A44&amp;", "&amp;Table_9_UK!A45&amp;", "&amp;Table_9_UK!A46&amp;", "&amp;Table_9_UK!A47&amp;", "&amp;Table_9_UK!A49&amp;", "&amp;Table_9_UK!A53&amp;", "&amp;Table_9_UK!A54</f>
        <v>Table 9: Head 1a, 1b, 1c, 1d, 1e, 1f, 2a, 2b, 2c, 2d, 2e, 4, 6, 7, 8, 10, 12, 13, 14, 15, 17a, 17b, 17c, 17d, 17f, 18a, 18b</v>
      </c>
      <c r="F175" s="672"/>
      <c r="G175" s="255" t="s">
        <v>238</v>
      </c>
      <c r="H175" s="260" t="str">
        <f>IF(OR(AND(SUM(Table_9_UK!I6)&lt;&gt;0,ISBLANK(Table_9_UK!L6)),AND(SUM(Table_9_UK!I7)&lt;&gt;0,ISBLANK(Table_9_UK!L7)),AND(SUM(Table_9_UK!I8)&lt;&gt;0,ISBLANK(Table_9_UK!L8)),AND(SUM(Table_9_UK!I9)&lt;&gt;0,ISBLANK(Table_9_UK!L9)),AND(SUM(Table_9_UK!I10)&lt;&gt;0,ISBLANK(Table_9_UK!L10)),AND(SUM(Table_9_UK!I11)&lt;&gt;0,ISBLANK(Table_9_UK!L11)),AND(SUM(Table_9_UK!I15)&lt;&gt;0,ISBLANK(Table_9_UK!L15)),AND(SUM(Table_9_UK!I16)&lt;&gt;0,ISBLANK(Table_9_UK!L16)),AND(SUM(Table_9_UK!I17)&lt;&gt;0,ISBLANK(Table_9_UK!L17)),AND(SUM(Table_9_UK!I18)&lt;&gt;0,ISBLANK(Table_9_UK!L18)),AND(SUM(Table_9_UK!I19)&lt;&gt;0,ISBLANK(Table_9_UK!L19)),AND(SUM(Table_9_UK!I24)&lt;&gt;0,ISBLANK(Table_9_UK!L24)),AND(SUM(Table_9_UK!I26)&lt;&gt;0,ISBLANK(Table_9_UK!L26)),AND(SUM(Table_9_UK!I27)&lt;&gt;0,ISBLANK(Table_9_UK!L27)),AND(SUM(Table_9_UK!I28)&lt;&gt;0,ISBLANK(Table_9_UK!L28)),AND(SUM(Table_9_UK!I32)&lt;&gt;0,ISBLANK(Table_9_UK!L32)),AND(SUM(Table_9_UK!I36)&lt;&gt;0,ISBLANK(Table_9_UK!L36)),AND(SUM(Table_9_UK!I37)&lt;&gt;0,ISBLANK(Table_9_UK!L37)),AND(SUM(Table_9_UK!I38)&lt;&gt;0,ISBLANK(Table_9_UK!L38)),AND(SUM(Table_9_UK!I39)&lt;&gt;0,ISBLANK(Table_9_UK!L39)),AND(SUM(Table_9_UK!I44)&lt;&gt;0,ISBLANK(Table_9_UK!L44)),AND(SUM(Table_9_UK!I45)&lt;&gt;0,ISBLANK(Table_9_UK!L45)),AND(SUM(Table_9_UK!I46)&lt;&gt;0,ISBLANK(Table_9_UK!L46)),AND(SUM(Table_9_UK!I47)&lt;&gt;0,ISBLANK(Table_9_UK!L47)),AND(SUM(Table_9_UK!I49)&lt;&gt;0,ISBLANK(Table_9_UK!L49)),AND(SUM(Table_9_UK!I53)&lt;&gt;0,ISBLANK(Table_9_UK!L53)),AND(SUM(Table_9_UK!I54)&lt;&gt;0,ISBLANK(Table_9_UK!L54))),"FAIL","PASS")</f>
        <v>PASS</v>
      </c>
      <c r="I175" s="139" t="str">
        <f>IF(OR(AND(SUM(Table_9_UK!I6)&lt;&gt;0,ISBLANK(Table_9_UK!L6)),AND(SUM(Table_9_UK!I7)&lt;&gt;0,ISBLANK(Table_9_UK!L7)),AND(SUM(Table_9_UK!I8)&lt;&gt;0,ISBLANK(Table_9_UK!L8)),AND(SUM(Table_9_UK!I9)&lt;&gt;0,ISBLANK(Table_9_UK!L9)),AND(SUM(Table_9_UK!I10)&lt;&gt;0,ISBLANK(Table_9_UK!L10)),AND(SUM(Table_9_UK!I11)&lt;&gt;0,ISBLANK(Table_9_UK!L11)),AND(SUM(Table_9_UK!I15)&lt;&gt;0,ISBLANK(Table_9_UK!L15)),AND(SUM(Table_9_UK!I16)&lt;&gt;0,ISBLANK(Table_9_UK!L16)),AND(SUM(Table_9_UK!I17)&lt;&gt;0,ISBLANK(Table_9_UK!L17)),AND(SUM(Table_9_UK!I18)&lt;&gt;0,ISBLANK(Table_9_UK!L18)),AND(SUM(Table_9_UK!I19)&lt;&gt;0,ISBLANK(Table_9_UK!L19)),AND(SUM(Table_9_UK!I24)&lt;&gt;0,ISBLANK(Table_9_UK!L24)),AND(SUM(Table_9_UK!I26)&lt;&gt;0,ISBLANK(Table_9_UK!L26)),AND(SUM(Table_9_UK!I27)&lt;&gt;0,ISBLANK(Table_9_UK!L27)),AND(SUM(Table_9_UK!I28)&lt;&gt;0,ISBLANK(Table_9_UK!L28)),AND(SUM(Table_9_UK!I32)&lt;&gt;0,ISBLANK(Table_9_UK!L32)),AND(SUM(Table_9_UK!I36)&lt;&gt;0,ISBLANK(Table_9_UK!L36)),AND(SUM(Table_9_UK!I37)&lt;&gt;0,ISBLANK(Table_9_UK!L37)),AND(SUM(Table_9_UK!I38)&lt;&gt;0,ISBLANK(Table_9_UK!L38)),AND(SUM(Table_9_UK!I39)&lt;&gt;0,ISBLANK(Table_9_UK!L39)),AND(SUM(Table_9_UK!I44)&lt;&gt;0,ISBLANK(Table_9_UK!L44)),AND(SUM(Table_9_UK!I45)&lt;&gt;0,ISBLANK(Table_9_UK!L45)),AND(SUM(Table_9_UK!I46)&lt;&gt;0,ISBLANK(Table_9_UK!L46)),AND(SUM(Table_9_UK!I47)&lt;&gt;0,ISBLANK(Table_9_UK!L47)),AND(SUM(Table_9_UK!I49)&lt;&gt;0,ISBLANK(Table_9_UK!L49)),AND(SUM(Table_9_UK!I53)&lt;&gt;0,ISBLANK(Table_9_UK!L53)),AND(SUM(Table_9_UK!I54)&lt;&gt;0,ISBLANK(Table_9_UK!L54))),J175,"")</f>
        <v/>
      </c>
      <c r="J175" s="257" t="str">
        <f>CONCATENATE(Table_9_UK!W6,Table_9_UK!W7,Table_9_UK!W8,Table_9_UK!W9,Table_9_UK!W10,Table_9_UK!W11,Table_9_UK!W15,Table_9_UK!W16,Table_9_UK!W17,Table_9_UK!W18,Table_9_UK!W19,Table_9_UK!W24,Table_9_UK!W26,Table_9_UK!W27,Table_9_UK!W28,Table_9_UK!W32,Table_9_UK!W36,Table_9_UK!W37,Table_9_UK!W38,Table_9_UK!W39,Table_9_UK!W44,Table_9_UK!W45,Table_9_UK!W46,Table_9_UK!W47,Table_9_UK!W49,Table_9_UK!W53,Table_9_UK!W54)</f>
        <v/>
      </c>
      <c r="K175" s="192">
        <f t="shared" si="8"/>
        <v>0</v>
      </c>
      <c r="L175" s="192">
        <f t="shared" si="9"/>
        <v>0</v>
      </c>
      <c r="M175" s="25"/>
      <c r="N175" s="25"/>
    </row>
    <row r="176" spans="1:14" customFormat="1" ht="30.5" customHeight="1" x14ac:dyDescent="0.35">
      <c r="A176" s="265" t="s">
        <v>537</v>
      </c>
      <c r="B176" s="671" t="s">
        <v>538</v>
      </c>
      <c r="C176" s="671"/>
      <c r="D176" s="671"/>
      <c r="E176" s="672" t="str">
        <f>Table_9_UK!$A$1&amp;" Head "&amp;Table_9_UK!A6&amp;", "&amp;Table_9_UK!A7&amp;", "&amp;Table_9_UK!A8&amp;", "&amp;Table_9_UK!A9&amp;", "&amp;Table_9_UK!A10&amp;", "&amp;Table_9_UK!A11&amp;", "&amp;Table_9_UK!A15&amp;", "&amp;Table_9_UK!A16&amp;", "&amp;Table_9_UK!A17&amp;", "&amp;Table_9_UK!A18&amp;", "&amp;Table_9_UK!A19&amp;", "&amp;Table_9_UK!A24&amp;", "&amp;Table_9_UK!A26&amp;", "&amp;Table_9_UK!A27&amp;", "&amp;Table_9_UK!A28&amp;", "&amp;Table_9_UK!A32&amp;", "&amp;Table_9_UK!A36&amp;", "&amp;Table_9_UK!A37&amp;", "&amp;Table_9_UK!A38&amp;", "&amp;Table_9_UK!A39&amp;", "&amp;Table_9_UK!A44&amp;", "&amp;Table_9_UK!A45&amp;", "&amp;Table_9_UK!A46&amp;", "&amp;Table_9_UK!A47&amp;", "&amp;Table_9_UK!A49&amp;", "&amp;Table_9_UK!A53&amp;", "&amp;Table_9_UK!A54</f>
        <v>Table 9: Head 1a, 1b, 1c, 1d, 1e, 1f, 2a, 2b, 2c, 2d, 2e, 4, 6, 7, 8, 10, 12, 13, 14, 15, 17a, 17b, 17c, 17d, 17f, 18a, 18b</v>
      </c>
      <c r="F176" s="672"/>
      <c r="G176" s="255" t="s">
        <v>238</v>
      </c>
      <c r="H176" s="260" t="str">
        <f>IF(OR(AND(SUM(Table_9_UK!I6)=0,NOT(ISBLANK(Table_9_UK!L6))),AND(SUM(Table_9_UK!I7)=0,NOT(ISBLANK(Table_9_UK!L7))),AND(SUM(Table_9_UK!I8)=0,NOT(ISBLANK(Table_9_UK!L8))),AND(SUM(Table_9_UK!I9)=0,NOT(ISBLANK(Table_9_UK!L9))),AND(SUM(Table_9_UK!I10)=0,NOT(ISBLANK(Table_9_UK!L10))),AND(SUM(Table_9_UK!I11)=0,NOT(ISBLANK(Table_9_UK!L11))),AND(SUM(Table_9_UK!I15)=0,NOT(ISBLANK(Table_9_UK!L15))),AND(SUM(Table_9_UK!I16)=0,NOT(ISBLANK(Table_9_UK!L16))),AND(SUM(Table_9_UK!I17)=0,NOT(ISBLANK(Table_9_UK!L17))),AND(SUM(Table_9_UK!I18)=0,NOT(ISBLANK(Table_9_UK!L18))),AND(SUM(Table_9_UK!I19)=0,NOT(ISBLANK(Table_9_UK!L19))),AND(SUM(Table_9_UK!I24)=0,NOT(ISBLANK(Table_9_UK!L24))),AND(SUM(Table_9_UK!I26)=0,NOT(ISBLANK(Table_9_UK!L26))),AND(SUM(Table_9_UK!I27)=0,NOT(ISBLANK(Table_9_UK!L27))),AND(SUM(Table_9_UK!I28)=0,NOT(ISBLANK(Table_9_UK!L28))),AND(SUM(Table_9_UK!I32)=0,NOT(ISBLANK(Table_9_UK!L32))),AND(SUM(Table_9_UK!I36)=0,NOT(ISBLANK(Table_9_UK!L36))),AND(SUM(Table_9_UK!I37)=0,NOT(ISBLANK(Table_9_UK!L37))),AND(SUM(Table_9_UK!I38)=0,NOT(ISBLANK(Table_9_UK!L38))),AND(SUM(Table_9_UK!I39)=0,NOT(ISBLANK(Table_9_UK!L39))),AND(SUM(Table_9_UK!I44)=0,NOT(ISBLANK(Table_9_UK!L44))),AND(SUM(Table_9_UK!I45)=0,NOT(ISBLANK(Table_9_UK!L45))),AND(SUM(Table_9_UK!I46)=0,NOT(ISBLANK(Table_9_UK!L46))),AND(SUM(Table_9_UK!I47)=0,NOT(ISBLANK(Table_9_UK!L47))),AND(SUM(Table_9_UK!I49)=0,NOT(ISBLANK(Table_9_UK!L49))),AND(SUM(Table_9_UK!I53)=0,NOT(ISBLANK(Table_9_UK!L53))),AND(SUM(Table_9_UK!I54)=0,NOT(ISBLANK(Table_9_UK!L54)))), "FAIL","PASS")</f>
        <v>PASS</v>
      </c>
      <c r="I176" s="139" t="str">
        <f>IF(OR(AND(SUM(Table_9_UK!I6)=0,NOT(ISBLANK(Table_9_UK!L6))),AND(SUM(Table_9_UK!I7)=0,NOT(ISBLANK(Table_9_UK!L7))),AND(SUM(Table_9_UK!I8)=0,NOT(ISBLANK(Table_9_UK!L8))),AND(SUM(Table_9_UK!I9)=0,NOT(ISBLANK(Table_9_UK!L9))),AND(SUM(Table_9_UK!I10)=0,NOT(ISBLANK(Table_9_UK!L10))),AND(SUM(Table_9_UK!I11)=0,NOT(ISBLANK(Table_9_UK!L11))),AND(SUM(Table_9_UK!I15)=0,NOT(ISBLANK(Table_9_UK!L15))),AND(SUM(Table_9_UK!I16)=0,NOT(ISBLANK(Table_9_UK!L16))),AND(SUM(Table_9_UK!I17)=0,NOT(ISBLANK(Table_9_UK!L17))),AND(SUM(Table_9_UK!I18)=0,NOT(ISBLANK(Table_9_UK!L18))),AND(SUM(Table_9_UK!I19)=0,NOT(ISBLANK(Table_9_UK!L19))),AND(SUM(Table_9_UK!I24)=0,NOT(ISBLANK(Table_9_UK!L24))),AND(SUM(Table_9_UK!I26)=0,NOT(ISBLANK(Table_9_UK!L26))),AND(SUM(Table_9_UK!I27)=0,NOT(ISBLANK(Table_9_UK!L27))),AND(SUM(Table_9_UK!I28)=0,NOT(ISBLANK(Table_9_UK!L28))),AND(SUM(Table_9_UK!I32)=0,NOT(ISBLANK(Table_9_UK!L32))),AND(SUM(Table_9_UK!I36)=0,NOT(ISBLANK(Table_9_UK!L36))),AND(SUM(Table_9_UK!I37)=0,NOT(ISBLANK(Table_9_UK!L37))),AND(SUM(Table_9_UK!I38)=0,NOT(ISBLANK(Table_9_UK!L38))),AND(SUM(Table_9_UK!I39)=0,NOT(ISBLANK(Table_9_UK!L39))),AND(SUM(Table_9_UK!I44)=0,NOT(ISBLANK(Table_9_UK!L44))),AND(SUM(Table_9_UK!I45)=0,NOT(ISBLANK(Table_9_UK!L45))),AND(SUM(Table_9_UK!I46)=0,NOT(ISBLANK(Table_9_UK!L46))),AND(SUM(Table_9_UK!I47)=0,NOT(ISBLANK(Table_9_UK!L47))),AND(SUM(Table_9_UK!I49)=0,NOT(ISBLANK(Table_9_UK!L49))),AND(SUM(Table_9_UK!I53)=0,NOT(ISBLANK(Table_9_UK!L53))),AND(SUM(Table_9_UK!I54)=0,NOT(ISBLANK(Table_9_UK!L54)))), J176,"")</f>
        <v/>
      </c>
      <c r="J176" s="257" t="str">
        <f>CONCATENATE(Table_9_UK!Z6,Table_9_UK!Z7,Table_9_UK!Z8,Table_9_UK!Z9,Table_9_UK!Z10,Table_9_UK!Z11,Table_9_UK!Z15,Table_9_UK!Z16,Table_9_UK!Z17,Table_9_UK!Z18,Table_9_UK!Z19,Table_9_UK!Z24,Table_9_UK!Z26,Table_9_UK!Z27,Table_9_UK!Z28,Table_9_UK!Z32,Table_9_UK!Z36,Table_9_UK!Z37,Table_9_UK!Z38,Table_9_UK!Z39,Table_9_UK!Z44,Table_9_UK!Z45,Table_9_UK!Z46,Table_9_UK!Z47,Table_9_UK!Z49,Table_9_UK!Z53,Table_9_UK!Z54)</f>
        <v/>
      </c>
      <c r="K176" s="192">
        <f t="shared" si="8"/>
        <v>0</v>
      </c>
      <c r="L176" s="192">
        <f t="shared" si="9"/>
        <v>0</v>
      </c>
      <c r="M176" s="25"/>
      <c r="N176" s="25"/>
    </row>
    <row r="177" spans="1:14" customFormat="1" ht="30.5" customHeight="1" x14ac:dyDescent="0.35">
      <c r="A177" s="262" t="s">
        <v>539</v>
      </c>
      <c r="B177" s="671" t="s">
        <v>540</v>
      </c>
      <c r="C177" s="671"/>
      <c r="D177" s="671"/>
      <c r="E177" s="672" t="str">
        <f>Table_9_UK!$A$1&amp;" Head "&amp;Table_9_UK!A6&amp;", "&amp;Table_9_UK!A7&amp;", "&amp;Table_9_UK!A8&amp;", "&amp;Table_9_UK!A9&amp;", "&amp;Table_9_UK!A10&amp;", "&amp;Table_9_UK!A11&amp;", "&amp;Table_9_UK!A15&amp;", "&amp;Table_9_UK!A16&amp;", "&amp;Table_9_UK!A17&amp;", "&amp;Table_9_UK!A18&amp;", "&amp;Table_9_UK!A19&amp;", "&amp;Table_9_UK!A24&amp;", "&amp;Table_9_UK!A26&amp;", "&amp;Table_9_UK!A27&amp;", "&amp;Table_9_UK!A28&amp;", "&amp;Table_9_UK!A32&amp;", "&amp;Table_9_UK!A36&amp;", "&amp;Table_9_UK!A37&amp;", "&amp;Table_9_UK!A38&amp;", "&amp;Table_9_UK!A39&amp;", "&amp;Table_9_UK!A44&amp;", "&amp;Table_9_UK!A45&amp;", "&amp;Table_9_UK!A46&amp;", "&amp;Table_9_UK!A47&amp;", "&amp;Table_9_UK!A49&amp;", "&amp;Table_9_UK!A53&amp;", "&amp;Table_9_UK!A54</f>
        <v>Table 9: Head 1a, 1b, 1c, 1d, 1e, 1f, 2a, 2b, 2c, 2d, 2e, 4, 6, 7, 8, 10, 12, 13, 14, 15, 17a, 17b, 17c, 17d, 17f, 18a, 18b</v>
      </c>
      <c r="F177" s="672"/>
      <c r="G177" s="255" t="s">
        <v>238</v>
      </c>
      <c r="H177" s="260" t="str">
        <f>IF(OR(AND(Table_9_UK!I6&lt;&gt;Table_9_UK!J6),AND(Table_9_UK!I7&lt;&gt;Table_9_UK!J7),AND(Table_9_UK!I8&lt;&gt;Table_9_UK!J8),AND(Table_9_UK!I9&lt;&gt;Table_9_UK!J9),AND(Table_9_UK!I10&lt;&gt;Table_9_UK!J10),AND(Table_9_UK!I11&lt;&gt;Table_9_UK!J11),AND(Table_9_UK!I15&lt;&gt;Table_9_UK!J15),AND(Table_9_UK!I16&lt;&gt;Table_9_UK!J16),AND(Table_9_UK!I17&lt;&gt;Table_9_UK!J17),AND(Table_9_UK!I18&lt;&gt;Table_9_UK!J18),AND(Table_9_UK!I19&lt;&gt;Table_9_UK!J19),AND(Table_9_UK!I24&lt;&gt;Table_9_UK!J24),AND(Table_9_UK!I26&lt;&gt;Table_9_UK!J26),AND(Table_9_UK!I27&lt;&gt;Table_9_UK!J27),AND(Table_9_UK!I28&lt;&gt;Table_9_UK!J28),AND(Table_9_UK!I32&lt;&gt;Table_9_UK!J32),AND(Table_9_UK!I36&lt;&gt;Table_9_UK!J36),AND(Table_9_UK!I37&lt;&gt;Table_9_UK!J37),AND(Table_9_UK!I38&lt;&gt;Table_9_UK!J38),AND(Table_9_UK!I39&lt;&gt;Table_9_UK!J39),AND(Table_9_UK!I44&lt;&gt;Table_9_UK!J44),AND(Table_9_UK!I45&lt;&gt;Table_9_UK!J45),AND(Table_9_UK!I46&lt;&gt;Table_9_UK!J46),AND(Table_9_UK!I47&lt;&gt;Table_9_UK!J47),AND(Table_9_UK!I49&lt;&gt;Table_9_UK!J49),AND(Table_9_UK!I53&lt;&gt;Table_9_UK!J53),AND(Table_9_UK!I54&lt;&gt;Table_9_UK!J54)),"FAIL","PASS")</f>
        <v>PASS</v>
      </c>
      <c r="I177" s="139" t="str">
        <f>IF(Table_9_UK!N1="FAIL",CONCATENATE(Table_9_UK!N5," ",Table_9_UK!N6,Table_9_UK!N7,Table_9_UK!N8,Table_9_UK!N9,Table_9_UK!N10,Table_9_UK!N11,Table_9_UK!N15,Table_9_UK!N16,Table_9_UK!N17,Table_9_UK!N18,Table_9_UK!N19,Table_9_UK!N24,Table_9_UK!N26,Table_9_UK!N27,Table_9_UK!N28,Table_9_UK!N32,Table_9_UK!N36,Table_9_UK!N37,Table_9_UK!N38,Table_9_UK!N39,Table_9_UK!N44,Table_9_UK!N45,Table_9_UK!N46,Table_9_UK!N47,Table_9_UK!N49,Table_9_UK!N53,Table_9_UK!N54),"")</f>
        <v/>
      </c>
      <c r="J177" s="261" t="str">
        <f>Table_9_UK!I6&amp;", "&amp;Table_9_UK!I7&amp;", "&amp;Table_9_UK!I8&amp;", "&amp;Table_9_UK!I9&amp;", "&amp;Table_9_UK!I10&amp;", "&amp;Table_9_UK!I11&amp;", "&amp;Table_9_UK!I15&amp;", "&amp;Table_9_UK!I6&amp;", "&amp;Table_9_UK!I17&amp;", "&amp;Table_9_UK!I18&amp;", "&amp;Table_9_UK!I19&amp;", "&amp;Table_9_UK!I24&amp;", "&amp;Table_9_UK!I26&amp;", "&amp;Table_9_UK!I27&amp;", "&amp;Table_9_UK!I28&amp;", "&amp;Table_9_UK!I32&amp;", "&amp;Table_9_UK!I36&amp;", "&amp;Table_9_UK!I37&amp;", "&amp;Table_9_UK!I38&amp;", "&amp;Table_9_UK!I39&amp;", "&amp;Table_9_UK!I44&amp;", "&amp;Table_9_UK!I45&amp;", "&amp;Table_9_UK!I46&amp;", "&amp;Table_9_UK!I47&amp;", "&amp;Table_9_UK!I49&amp;", "&amp;Table_9_UK!I53&amp;", "&amp;Table_9_UK!I54</f>
        <v>0, 0, 0, 0, 0, 0, -352400, 0, 0, 0, 0, 0, 0, 0, 0, 0, 0, 0, 0, 0, 0, 0, 0, 0, 0, 0, 0</v>
      </c>
      <c r="K177" s="192">
        <f t="shared" si="8"/>
        <v>0</v>
      </c>
      <c r="L177" s="192">
        <f t="shared" si="9"/>
        <v>0</v>
      </c>
      <c r="M177" s="25"/>
      <c r="N177" s="25"/>
    </row>
    <row r="178" spans="1:14" customFormat="1" ht="30.5" customHeight="1" x14ac:dyDescent="0.35">
      <c r="A178" s="265" t="s">
        <v>541</v>
      </c>
      <c r="B178" s="671" t="s">
        <v>542</v>
      </c>
      <c r="C178" s="671"/>
      <c r="D178" s="671"/>
      <c r="E178" s="672" t="str">
        <f>Table_10_UK!$A$1&amp;" Head "&amp;Table_10_UK!A7&amp;", "&amp;Table_10_UK!A45</f>
        <v>Table 10: Head 1b, 6</v>
      </c>
      <c r="F178" s="672"/>
      <c r="G178" s="255" t="s">
        <v>238</v>
      </c>
      <c r="H178" s="140" t="str">
        <f>IF(OR(AND(SUM(Table_10_UK!H45)&lt;&gt;0,(ISBLANK(Table_10_UK!H7))),AND(SUM(Table_10_UK!I45)&lt;&gt;0,(ISBLANK(Table_10_UK!H7))),AND(SUM(Table_10_UK!J45)&lt;&gt;0,(ISBLANK(Table_10_UK!J7))),AND(SUM(Table_10_UK!K45)&lt;&gt;0,(ISBLANK(Table_10_UK!J7))),AND(SUM(Table_10_UK!L45)&lt;&gt;0,(ISBLANK(Table_10_UK!L7))),AND(SUM(Table_10_UK!M45)&lt;&gt;0,(ISBLANK(Table_10_UK!L7))),AND(SUM(Table_10_UK!N45)&lt;&gt;0,(ISBLANK(Table_10_UK!N7))),AND(SUM(Table_10_UK!O45)&lt;&gt;0,(ISBLANK(Table_10_UK!N7)))),"FAIL","PASS")</f>
        <v>PASS</v>
      </c>
      <c r="I178" s="139" t="str">
        <f>IF(OR(AND(SUM(Table_10_UK!H45)&lt;&gt;0,(ISBLANK(Table_10_UK!H7))),AND(SUM(Table_10_UK!I45)&lt;&gt;0,(ISBLANK(Table_10_UK!H7))),AND(SUM(Table_10_UK!J45)&lt;&gt;0,(ISBLANK(Table_10_UK!J7))),AND(SUM(Table_10_UK!K45)&lt;&gt;0,(ISBLANK(Table_10_UK!J7))),AND(SUM(Table_10_UK!L45)&lt;&gt;0,(ISBLANK(Table_10_UK!L7))),AND(SUM(Table_10_UK!M45)&lt;&gt;0,(ISBLANK(Table_10_UK!L7))),AND(SUM(Table_10_UK!N45)&lt;&gt;0,(ISBLANK(Table_10_UK!N7))),AND(SUM(Table_10_UK!O45)&lt;&gt;0,(ISBLANK(Table_10_UK!N7)))),"Head "&amp;Table_10_UK!A45&amp;" ("&amp;Table_10_UK!H45&amp;", "&amp;Table_10_UK!I45&amp;", "&amp;Table_10_UK!J45&amp;", "&amp;Table_10_UK!K45&amp;", "&amp;Table_10_UK!L45&amp;", "&amp;Table_10_UK!M45&amp;", "&amp;Table_10_UK!N45&amp;", "&amp;Table_10_UK!O45&amp;")","")</f>
        <v/>
      </c>
      <c r="J178" s="257" t="str">
        <f>Table_10_UK!H45&amp;", "&amp;Table_10_UK!I45&amp;", "&amp;Table_10_UK!J45&amp;", "&amp;Table_10_UK!K45&amp;", "&amp;Table_10_UK!L45&amp;", "&amp;Table_10_UK!M45&amp;", "&amp;Table_10_UK!N45&amp;", "&amp;Table_10_UK!O45</f>
        <v>426, 422, 0, 0, 0, 0, 0, 0</v>
      </c>
      <c r="K178" s="192">
        <f t="shared" si="8"/>
        <v>0</v>
      </c>
      <c r="L178" s="192">
        <f t="shared" si="9"/>
        <v>0</v>
      </c>
      <c r="M178" s="25"/>
      <c r="N178" s="25"/>
    </row>
    <row r="179" spans="1:14" customFormat="1" ht="30.5" customHeight="1" x14ac:dyDescent="0.35">
      <c r="A179" s="265" t="s">
        <v>543</v>
      </c>
      <c r="B179" s="671" t="s">
        <v>544</v>
      </c>
      <c r="C179" s="671"/>
      <c r="D179" s="671"/>
      <c r="E179" s="672" t="str">
        <f>Table_10_UK!$A$1&amp;" Head "&amp;Table_10_UK!A8&amp;", "&amp;Table_10_UK!A45</f>
        <v>Table 10: Head 1c, 6</v>
      </c>
      <c r="F179" s="672"/>
      <c r="G179" s="255" t="s">
        <v>238</v>
      </c>
      <c r="H179" s="140" t="str">
        <f>IF(OR(AND(SUM(Table_10_UK!J45)&lt;&gt;0,(ISBLANK(Table_10_UK!J8))),AND(SUM(Table_10_UK!K45)&lt;&gt;0,(ISBLANK(Table_10_UK!J8))),AND(SUM(Table_10_UK!L45)&lt;&gt;0,(ISBLANK(Table_10_UK!L8))),AND(SUM(Table_10_UK!M45)&lt;&gt;0,(ISBLANK(Table_10_UK!L8))),AND(SUM(Table_10_UK!N45)&lt;&gt;0,(ISBLANK(Table_10_UK!N8))),AND(SUM(Table_10_UK!O45)&lt;&gt;0,(ISBLANK(Table_10_UK!N8)))),"FAIL","PASS")</f>
        <v>PASS</v>
      </c>
      <c r="I179" s="139" t="str">
        <f>IF(OR(AND(SUM(Table_10_UK!J45)&lt;&gt;0,(ISBLANK(Table_10_UK!J8))),AND(SUM(Table_10_UK!K45)&lt;&gt;0,(ISBLANK(Table_10_UK!J8))),AND(SUM(Table_10_UK!L45)&lt;&gt;0,(ISBLANK(Table_10_UK!L8))),AND(SUM(Table_10_UK!M45)&lt;&gt;0,(ISBLANK(Table_10_UK!L8))),AND(SUM(Table_10_UK!N45)&lt;&gt;0,(ISBLANK(Table_10_UK!N8))),AND(SUM(Table_10_UK!O45)&lt;&gt;0,(ISBLANK(Table_10_UK!N8)))),"Head "&amp;Table_10_UK!A45&amp;" ("&amp;Table_10_UK!J45&amp;", "&amp;Table_10_UK!K45&amp;", "&amp;Table_10_UK!L45&amp;", "&amp;Table_10_UK!M45&amp;", "&amp;Table_10_UK!N45&amp;", "&amp;Table_10_UK!O45&amp;")","")</f>
        <v/>
      </c>
      <c r="J179" s="257" t="str">
        <f>Table_10_UK!J45&amp;", "&amp;Table_10_UK!K45&amp;", "&amp;Table_10_UK!L45&amp;", "&amp;Table_10_UK!M45&amp;", "&amp;Table_10_UK!N45&amp;", "&amp;Table_10_UK!O45</f>
        <v>0, 0, 0, 0, 0, 0</v>
      </c>
      <c r="K179" s="192">
        <f t="shared" si="8"/>
        <v>0</v>
      </c>
      <c r="L179" s="192">
        <f t="shared" si="9"/>
        <v>0</v>
      </c>
      <c r="M179" s="25"/>
      <c r="N179" s="25"/>
    </row>
    <row r="180" spans="1:14" customFormat="1" ht="30.5" customHeight="1" x14ac:dyDescent="0.35">
      <c r="A180" s="265" t="s">
        <v>545</v>
      </c>
      <c r="B180" s="671" t="s">
        <v>546</v>
      </c>
      <c r="C180" s="671"/>
      <c r="D180" s="671"/>
      <c r="E180" s="672" t="str">
        <f>Table_10_UK!$A$1&amp;" Head "&amp;Table_10_UK!A8</f>
        <v>Table 10: Head 1c</v>
      </c>
      <c r="F180" s="672"/>
      <c r="G180" s="255" t="s">
        <v>238</v>
      </c>
      <c r="H180" s="140" t="str">
        <f>IF(OR((Table_10_UK!H8&gt;="20250731"),(Table_10_UK!H8=0)),"PASS","FAIL")</f>
        <v>PASS</v>
      </c>
      <c r="I180" s="139" t="str">
        <f>IF(OR(Table_10_UK!H8&gt;="20230731",ISBLANK(Table_10_UK!H8)),"","Head "&amp;Table_10_UK!A8&amp;" ("&amp;Table_10_UK!T8&amp;")")</f>
        <v/>
      </c>
      <c r="J180" s="257"/>
      <c r="K180" s="192">
        <f t="shared" si="8"/>
        <v>0</v>
      </c>
      <c r="L180" s="192">
        <f t="shared" si="9"/>
        <v>0</v>
      </c>
      <c r="M180" s="25"/>
      <c r="N180" s="25"/>
    </row>
    <row r="181" spans="1:14" customFormat="1" ht="30.5" customHeight="1" x14ac:dyDescent="0.35">
      <c r="A181" s="265" t="s">
        <v>547</v>
      </c>
      <c r="B181" s="671" t="s">
        <v>548</v>
      </c>
      <c r="C181" s="671"/>
      <c r="D181" s="671"/>
      <c r="E181" s="672" t="str">
        <f>Table_10_UK!$A$1&amp;" Head "&amp;Table_10_UK!A13&amp;Table_10_UK!A14</f>
        <v>Table 10: Head 2bi</v>
      </c>
      <c r="F181" s="672"/>
      <c r="G181" s="255" t="s">
        <v>238</v>
      </c>
      <c r="H181" s="140" t="str">
        <f>IF(Table_10_UK!H14&gt;0,"PASS","FAIL")</f>
        <v>PASS</v>
      </c>
      <c r="I181" s="139" t="str">
        <f>IF(Table_10_UK!H14&gt;0,"","Head "&amp;Table_10_UK!A13&amp;Table_10_UK!A14&amp;" ("&amp;J181&amp;")")</f>
        <v/>
      </c>
      <c r="J181" s="261">
        <f>Table_10_UK!H14</f>
        <v>375</v>
      </c>
      <c r="K181" s="192">
        <f t="shared" si="8"/>
        <v>0</v>
      </c>
      <c r="L181" s="192">
        <f t="shared" si="9"/>
        <v>0</v>
      </c>
      <c r="M181" s="25"/>
      <c r="N181" s="25"/>
    </row>
    <row r="182" spans="1:14" customFormat="1" ht="30.5" customHeight="1" x14ac:dyDescent="0.35">
      <c r="A182" s="265" t="s">
        <v>549</v>
      </c>
      <c r="B182" s="671" t="s">
        <v>550</v>
      </c>
      <c r="C182" s="671"/>
      <c r="D182" s="671"/>
      <c r="E182" s="672" t="str">
        <f>Table_10_UK!$A$1&amp;" Head "&amp;Table_10_UK!A7&amp;", "&amp;Table_10_UK!A45</f>
        <v>Table 10: Head 1b, 6</v>
      </c>
      <c r="F182" s="672"/>
      <c r="G182" s="255" t="s">
        <v>238</v>
      </c>
      <c r="H182" s="140" t="str">
        <f>IF(AND(Table_10_UK!T7&gt;"20240731",Table_10_UK!I45&lt;&gt;0),"FAIL",IF(AND(ISBLANK(Table_10_UK!T7),Table_10_UK!I45&lt;&gt;0),"FAIL",IF(AND(Table_10_UK!V7&gt;"20240731",Table_10_UK!K45&lt;&gt;0),"FAIL",IF(AND(ISBLANK(Table_10_UK!V7),Table_10_UK!K45&lt;&gt;0),"FAIL",IF(AND(Table_10_UK!X7&gt;"20240731",Table_10_UK!M45&lt;&gt;0),"FAIL",IF(AND(ISBLANK(Table_10_UK!X7),Table_10_UK!M45&lt;&gt;0),"FAIL",IF(AND(Table_10_UK!Z7&gt;"20240731",Table_10_UK!O45&lt;&gt;0),"FAIL",IF(AND(ISBLANK(Table_10_UK!Z7),Table_10_UK!O45&lt;&gt;0),"FAIL","PASS"))))))))</f>
        <v>PASS</v>
      </c>
      <c r="I182" s="139" t="str">
        <f>IF(AND(Table_10_UK!T7&gt;"20220731",Table_10_UK!I45&lt;&gt;0),"Head "&amp;Table_10_UK!A45&amp;" ("&amp;Table_10_UK!I45&amp;")",IF(AND(ISBLANK(Table_10_UK!T7),Table_10_UK!I45&lt;&gt;0),"Head "&amp;Table_10_UK!A45&amp;" ("&amp;Table_10_UK!I45&amp;")",IF(AND(Table_10_UK!V7&gt;"20220731",Table_10_UK!K45&lt;&gt;0),"Head "&amp;Table_10_UK!A45&amp;" ("&amp;Table_10_UK!K45&amp;")",IF(AND(ISBLANK(Table_10_UK!V7),Table_10_UK!K45&lt;&gt;0),"Head "&amp;Table_10_UK!A45&amp;" ("&amp;Table_10_UK!K45&amp;")",IF(AND(Table_10_UK!X7&gt;"20220731",Table_10_UK!M45&lt;&gt;0),"Head "&amp;Table_10_UK!A45&amp;" ("&amp;Table_10_UK!M45&amp;")",IF(AND(ISBLANK(Table_10_UK!X7),Table_10_UK!M45&lt;&gt;0),"Head "&amp;Table_10_UK!A45&amp;" ("&amp;Table_10_UK!M45&amp;")",IF(AND(Table_10_UK!Z7&gt;"20220731",Table_10_UK!O45&lt;&gt;0),"Head "&amp;Table_10_UK!A45&amp;" ("&amp;Table_10_UK!O45&amp;")",IF(AND(ISBLANK(Table_10_UK!Z7),Table_10_UK!O45&lt;&gt;0),"Head "&amp;Table_10_UK!A45&amp;" ("&amp;Table_10_UK!O45&amp;")",""))))))))</f>
        <v/>
      </c>
      <c r="J182" s="257" t="str">
        <f>Table_10_UK!I45&amp;", "&amp;Table_10_UK!K45&amp;", "&amp;Table_10_UK!M45&amp;", "&amp;Table_10_UK!O45</f>
        <v>422, 0, 0, 0</v>
      </c>
      <c r="K182" s="192">
        <f t="shared" si="8"/>
        <v>0</v>
      </c>
      <c r="L182" s="192">
        <f t="shared" si="9"/>
        <v>0</v>
      </c>
      <c r="M182" s="25"/>
      <c r="N182" s="25"/>
    </row>
    <row r="183" spans="1:14" customFormat="1" ht="30.5" customHeight="1" x14ac:dyDescent="0.35">
      <c r="A183" s="265" t="s">
        <v>551</v>
      </c>
      <c r="B183" s="671" t="s">
        <v>552</v>
      </c>
      <c r="C183" s="671"/>
      <c r="D183" s="671"/>
      <c r="E183" s="672" t="str">
        <f>Table_10_UK!$A$1&amp;" Head "&amp;Table_10_UK!A8&amp;", "&amp;Table_10_UK!A45</f>
        <v>Table 10: Head 1c, 6</v>
      </c>
      <c r="F183" s="672"/>
      <c r="G183" s="255" t="s">
        <v>238</v>
      </c>
      <c r="H183" s="140" t="str">
        <f>IF(AND(Table_10_UK!J8&lt;=DATEVALUE("2024-07-31"),Table_10_UK!J45&lt;&gt;0),"FAIL",IF(AND(ISBLANK(Table_10_UK!J8),Table_10_UK!J45&lt;&gt;0),"FAIL",IF(AND(Table_10_UK!L8&lt;=DATEVALUE("2024-07-31"),Table_10_UK!L45&lt;&gt;0),"FAIL",IF(AND(ISBLANK(Table_10_UK!L8),Table_10_UK!L45&lt;&gt;0),"FAIL",IF(AND(Table_10_UK!N8&lt;=DATEVALUE("2024-07-31"),Table_10_UK!N45&lt;&gt;0),"FAIL",IF(AND(ISBLANK(Table_10_UK!N8),Table_10_UK!N45&lt;&gt;0),"FAIL","PASS"))))))</f>
        <v>PASS</v>
      </c>
      <c r="I183" s="139" t="str">
        <f>IF(AND(Table_10_UK!J8&lt;=DATEVALUE("2022-07-31"),Table_10_UK!J45&lt;&gt;0),"Head "&amp;Table_10_UK!A45&amp;" ("&amp;Table_10_UK!J45&amp;")",IF(AND(ISBLANK(Table_10_UK!J8),Table_10_UK!J45&lt;&gt;0),"Head "&amp;Table_10_UK!A45&amp;" ("&amp;Table_10_UK!J45&amp;")",IF(AND(Table_10_UK!L8&lt;=DATEVALUE("2022-07-31"),Table_10_UK!L45&lt;&gt;0),"Head "&amp;Table_10_UK!A45&amp;" ("&amp;Table_10_UK!L45&amp;")",IF(AND(ISBLANK(Table_10_UK!L8),Table_10_UK!L45&lt;&gt;0),"Head "&amp;Table_10_UK!A45&amp;" ("&amp;Table_10_UK!L45&amp;")",IF(AND(Table_10_UK!N8&lt;=DATEVALUE("2022-07-31"),Table_10_UK!N45&lt;&gt;0),"Head "&amp;Table_10_UK!A45&amp;" ("&amp;Table_10_UK!N45&amp;")",IF(AND(ISBLANK(Table_10_UK!N8),Table_10_UK!N45&lt;&gt;0),"Head "&amp;Table_10_UK!A45&amp;" ("&amp;Table_10_UK!N45&amp;")",""))))))</f>
        <v/>
      </c>
      <c r="J183" s="257" t="str">
        <f>Table_10_UK!J45&amp;", "&amp;Table_10_UK!L45&amp;", "&amp;Table_10_UK!N45</f>
        <v>0, 0, 0</v>
      </c>
      <c r="K183" s="192">
        <f t="shared" si="8"/>
        <v>0</v>
      </c>
      <c r="L183" s="192">
        <f t="shared" si="9"/>
        <v>0</v>
      </c>
      <c r="M183" s="25"/>
      <c r="N183" s="25"/>
    </row>
    <row r="184" spans="1:14" customFormat="1" ht="30.5" customHeight="1" x14ac:dyDescent="0.35">
      <c r="A184" s="265" t="s">
        <v>553</v>
      </c>
      <c r="B184" s="671" t="s">
        <v>554</v>
      </c>
      <c r="C184" s="671"/>
      <c r="D184" s="671"/>
      <c r="E184" s="672" t="str">
        <f>Table_10_UK!$A$1&amp;" Head "&amp;Table_10_UK!A34&amp;", "&amp;Table_10_UK!A48</f>
        <v>Table 10: Head 4b, 8</v>
      </c>
      <c r="F184" s="672"/>
      <c r="G184" s="255" t="s">
        <v>238</v>
      </c>
      <c r="H184" s="260" t="str">
        <f>IF(AND(Table_10_UK!H48="Yes",Table_10_UK!H34&lt;=0),"FAIL",IF(AND(Table_10_UK!I48="Yes",Table_10_UK!I34&lt;=0),"FAIL",IF(AND(Table_10_UK!J48="Yes",Table_10_UK!J34&lt;=0),"FAIL",IF(AND(Table_10_UK!K48="Yes",Table_10_UK!K34&lt;=0),"FAIL",IF(AND(Table_10_UK!L48="Yes",Table_10_UK!L34&lt;=0),"FAIL",IF(AND(Table_10_UK!M48="Yes",Table_10_UK!M34&lt;=0),"FAIL",IF(AND(Table_10_UK!N48="Yes",Table_10_UK!N34&lt;=0),"FAIL",IF(AND(Table_10_UK!O48="Yes",Table_10_UK!O34&lt;=0),"FAIL","PASS"))))))))</f>
        <v>PASS</v>
      </c>
      <c r="I184" s="139" t="str">
        <f>IF(AND(Table_10_UK!H48="Yes",Table_10_UK!H34&lt;=0),"Head "&amp;Table_10_UK!A34&amp;" ("&amp;Table_10_UK!H34&amp;")",IF(AND(Table_10_UK!I48="Yes",Table_10_UK!I34&lt;=0),"Head "&amp;Table_10_UK!A34&amp;" ("&amp;Table_10_UK!I34&amp;")",IF(AND(Table_10_UK!J48="Yes",Table_10_UK!J34&lt;=0),"Head "&amp;Table_10_UK!A34&amp;" ("&amp;Table_10_UK!J34&amp;")",IF(AND(Table_10_UK!K48="Yes",Table_10_UK!K34&lt;=0),"Head "&amp;Table_10_UK!A34&amp;" ("&amp;Table_10_UK!K34&amp;")",IF(AND(Table_10_UK!L48="Yes",Table_10_UK!L34&lt;=0),"Head "&amp;Table_10_UK!A34&amp;" ("&amp;Table_10_UK!L34&amp;")",IF(AND(Table_10_UK!M48="Yes",Table_10_UK!M34&lt;=0),"Head "&amp;Table_10_UK!A34&amp;" ("&amp;Table_10_UK!M34&amp;")",IF(AND(Table_10_UK!N48="Yes",Table_10_UK!N34&lt;=0),"Head "&amp;Table_10_UK!A34&amp;" ("&amp;Table_10_UK!N34&amp;")",IF(AND(Table_10_UK!O48="Yes",Table_10_UK!O34&lt;=0),"Head "&amp;Table_10_UK!A34&amp;" ("&amp;Table_10_UK!O34&amp;")",""))))))))</f>
        <v/>
      </c>
      <c r="J184" s="257" t="str">
        <f>Table_10_UK!H34&amp;", "&amp;Table_10_UK!I34&amp;", "&amp;Table_10_UK!J34&amp;", "&amp;Table_10_UK!K34&amp;", "&amp;Table_10_UK!L34&amp;", "&amp;Table_10_UK!M34&amp;", "&amp;Table_10_UK!N34&amp;", "&amp;Table_10_UK!O34</f>
        <v>0, 0, 0, 0, 0, 0, 0, 0</v>
      </c>
      <c r="K184" s="192">
        <f t="shared" ref="K184:K205" si="10">IF(AND(G184="Error",H184="FAIL"),1,0)</f>
        <v>0</v>
      </c>
      <c r="L184" s="192">
        <f t="shared" ref="L184:L205" si="11">IF(AND(G184="Warning",H184="FAIL"),1,0)</f>
        <v>0</v>
      </c>
      <c r="M184" s="25"/>
      <c r="N184" s="25"/>
    </row>
    <row r="185" spans="1:14" customFormat="1" ht="30.5" customHeight="1" x14ac:dyDescent="0.35">
      <c r="A185" s="265" t="s">
        <v>555</v>
      </c>
      <c r="B185" s="671" t="s">
        <v>556</v>
      </c>
      <c r="C185" s="671"/>
      <c r="D185" s="671"/>
      <c r="E185" s="672" t="str">
        <f>Table_10_UK!$A$1&amp;" Head "&amp;Table_10_UK!A54</f>
        <v>Table 10: Head 10a</v>
      </c>
      <c r="F185" s="672"/>
      <c r="G185" s="255" t="s">
        <v>238</v>
      </c>
      <c r="H185" s="255" t="str">
        <f>IF(AND(B4&lt;&gt;"X",Table_10_UK!H54=0),"FAIL","PASS")</f>
        <v>PASS</v>
      </c>
      <c r="I185" s="139" t="str">
        <f>IF(AND(B4&lt;&gt;"X",Table_10_UK!H54=0),"Head "&amp;Table_10_UK!A54&amp;" ("&amp;J185&amp;")","")</f>
        <v/>
      </c>
      <c r="J185" s="257">
        <f>Table_10_UK!H54</f>
        <v>8.6999999999999993</v>
      </c>
      <c r="K185" s="192">
        <f t="shared" si="10"/>
        <v>0</v>
      </c>
      <c r="L185" s="192">
        <f t="shared" si="11"/>
        <v>0</v>
      </c>
      <c r="M185" s="25"/>
      <c r="N185" s="25"/>
    </row>
    <row r="186" spans="1:14" customFormat="1" ht="30.5" customHeight="1" x14ac:dyDescent="0.35">
      <c r="A186" s="265" t="s">
        <v>557</v>
      </c>
      <c r="B186" s="671" t="s">
        <v>558</v>
      </c>
      <c r="C186" s="671"/>
      <c r="D186" s="671"/>
      <c r="E186" s="672" t="str">
        <f>Table_10_UK!$A$1&amp;" Head "&amp;Table_10_UK!A55</f>
        <v>Table 10: Head 10b</v>
      </c>
      <c r="F186" s="672"/>
      <c r="G186" s="255" t="s">
        <v>238</v>
      </c>
      <c r="H186" s="255" t="str">
        <f>IF(AND(B4&lt;&gt;"X",Table_10_UK!H55=0),"FAIL","PASS")</f>
        <v>PASS</v>
      </c>
      <c r="I186" s="139" t="str">
        <f>IF(AND(B4&lt;&gt;"X",Table_10_UK!H55=0),"Head "&amp;Table_10_UK!A55&amp;" ("&amp;J186&amp;")","")</f>
        <v/>
      </c>
      <c r="J186" s="257">
        <f>Table_10_UK!H55</f>
        <v>9.9</v>
      </c>
      <c r="K186" s="192">
        <f t="shared" si="10"/>
        <v>0</v>
      </c>
      <c r="L186" s="192">
        <f t="shared" si="11"/>
        <v>0</v>
      </c>
      <c r="M186" s="25"/>
      <c r="N186" s="25"/>
    </row>
    <row r="187" spans="1:14" customFormat="1" ht="30.5" customHeight="1" x14ac:dyDescent="0.35">
      <c r="A187" s="265" t="s">
        <v>559</v>
      </c>
      <c r="B187" s="671" t="s">
        <v>560</v>
      </c>
      <c r="C187" s="671"/>
      <c r="D187" s="671"/>
      <c r="E187" s="672" t="str">
        <f>Table_10_UK!$A$1&amp;" Head "&amp;Table_10_UK!A29</f>
        <v>Table 10: Head 3d</v>
      </c>
      <c r="F187" s="672"/>
      <c r="G187" s="255" t="s">
        <v>233</v>
      </c>
      <c r="H187" s="260" t="str">
        <f>IF(AND(SUM(Table_10_UK!P29:Q29)&lt;&gt;0,ISBLANK(Table_10_UK!R29)),"FAIL","PASS")</f>
        <v>PASS</v>
      </c>
      <c r="I187" s="139" t="str">
        <f>IF(AND(SUM(Table_10_UK!P29:Q29)&lt;&gt;0,ISBLANK(Table_10_UK!R29)),"Head "&amp;Table_10_UK!A29&amp;" ("&amp;J187&amp;")","")</f>
        <v/>
      </c>
      <c r="J187" s="257" t="str">
        <f>Table_10_UK!P29&amp;","&amp;Table_10_UK!Q29</f>
        <v>0,0</v>
      </c>
      <c r="K187" s="192">
        <f t="shared" si="10"/>
        <v>0</v>
      </c>
      <c r="L187" s="192">
        <f t="shared" si="11"/>
        <v>0</v>
      </c>
      <c r="M187" s="25"/>
      <c r="N187" s="25"/>
    </row>
    <row r="188" spans="1:14" customFormat="1" ht="30.5" customHeight="1" x14ac:dyDescent="0.35">
      <c r="A188" s="265" t="s">
        <v>561</v>
      </c>
      <c r="B188" s="671" t="s">
        <v>562</v>
      </c>
      <c r="C188" s="671"/>
      <c r="D188" s="671"/>
      <c r="E188" s="672" t="str">
        <f>Table_10_UK!$A$1&amp;" Head "&amp;Table_10_UK!A35</f>
        <v>Table 10: Head 4c</v>
      </c>
      <c r="F188" s="672"/>
      <c r="G188" s="255" t="s">
        <v>233</v>
      </c>
      <c r="H188" s="260" t="str">
        <f>IF(AND(SUM(Table_10_UK!P35:Q35)&lt;&gt;0,ISBLANK(Table_10_UK!R35)),"FAIL","PASS")</f>
        <v>PASS</v>
      </c>
      <c r="I188" s="139" t="str">
        <f>IF(AND(SUM(Table_10_UK!P35:Q35)&lt;&gt;0,ISBLANK(Table_10_UK!R35)),"Head "&amp;Table_10_UK!A35&amp;" ("&amp;J188&amp;")","")</f>
        <v/>
      </c>
      <c r="J188" s="257" t="str">
        <f>Table_10_UK!P35&amp;","&amp;Table_10_UK!Q35</f>
        <v>0,0</v>
      </c>
      <c r="K188" s="192">
        <f t="shared" si="10"/>
        <v>0</v>
      </c>
      <c r="L188" s="192">
        <f t="shared" si="11"/>
        <v>0</v>
      </c>
      <c r="M188" s="25"/>
      <c r="N188" s="25"/>
    </row>
    <row r="189" spans="1:14" customFormat="1" ht="30.5" customHeight="1" x14ac:dyDescent="0.35">
      <c r="A189" s="265" t="s">
        <v>563</v>
      </c>
      <c r="B189" s="671" t="s">
        <v>564</v>
      </c>
      <c r="C189" s="671"/>
      <c r="D189" s="671"/>
      <c r="E189" s="672" t="str">
        <f>Table_10_UK!$A$1&amp;" Head "&amp;Table_10_UK!A42</f>
        <v>Table 10: Head 5d</v>
      </c>
      <c r="F189" s="672"/>
      <c r="G189" s="255" t="s">
        <v>233</v>
      </c>
      <c r="H189" s="260" t="str">
        <f>IF(AND(SUM(Table_10_UK!P42:Q42)&lt;&gt;0,ISBLANK(Table_10_UK!R42)),"FAIL","PASS")</f>
        <v>PASS</v>
      </c>
      <c r="I189" s="139" t="str">
        <f>IF(AND(SUM(Table_10_UK!P42:Q42)&lt;&gt;0,ISBLANK(Table_10_UK!R42)),"Head "&amp;Table_10_UK!A42&amp;" ("&amp;J189&amp;")","")</f>
        <v/>
      </c>
      <c r="J189" s="257" t="str">
        <f>Table_10_UK!P42&amp;","&amp;Table_10_UK!Q42</f>
        <v>0,0</v>
      </c>
      <c r="K189" s="192">
        <f t="shared" si="10"/>
        <v>0</v>
      </c>
      <c r="L189" s="192">
        <f t="shared" si="11"/>
        <v>0</v>
      </c>
      <c r="M189" s="25"/>
      <c r="N189" s="25"/>
    </row>
    <row r="190" spans="1:14" customFormat="1" ht="30.5" customHeight="1" x14ac:dyDescent="0.35">
      <c r="A190" s="265" t="s">
        <v>565</v>
      </c>
      <c r="B190" s="671" t="s">
        <v>566</v>
      </c>
      <c r="C190" s="671"/>
      <c r="D190" s="671"/>
      <c r="E190" s="672" t="str">
        <f>Table_10_UK!$A$1&amp;" Head "&amp;Table_10_UK!A45&amp;", "&amp;Table_10_UK!A54</f>
        <v>Table 10: Head 6, 10a</v>
      </c>
      <c r="F190" s="672"/>
      <c r="G190" s="255" t="s">
        <v>238</v>
      </c>
      <c r="H190" s="264" t="str">
        <f>IF(AND(Table_10_UK!I45&gt;0,Table_10_UK!I54=0),"FAIL",IF(AND(Table_10_UK!J45&gt;0,Table_10_UK!J54=0),"FAIL",IF(AND(Table_10_UK!K45&gt;0,Table_10_UK!K54=0),"FAIL",IF(AND(Table_10_UK!L45&gt;0,Table_10_UK!L54=0),"FAIL",IF(AND(Table_10_UK!M45&gt;0,Table_10_UK!M54=0),"FAIL",IF(AND(Table_10_UK!N45&gt;0,Table_10_UK!N54=0),"FAIL",IF(AND(Table_10_UK!O45&gt;0,Table_10_UK!O54=0),"FAIL","PASS")))))))</f>
        <v>PASS</v>
      </c>
      <c r="I190" s="139" t="str">
        <f>IF(AND(Table_10_UK!I45&gt;0,Table_10_UK!I54=0),"Head "&amp;Table_10_UK!A45&amp;", "&amp;Table_10_UK!A54&amp;" ("&amp;Table_10_UK!I45&amp;", "&amp;Table_10_UK!I54&amp;"), ",IF(AND(Table_10_UK!J45&gt;0,Table_10_UK!J54=0),"Head "&amp;Table_10_UK!A45&amp;", "&amp;Table_10_UK!A54&amp;" ("&amp;Table_10_UK!J45&amp;", "&amp;Table_10_UK!J54&amp;"), ",IF(AND(Table_10_UK!K45&gt;0,Table_10_UK!K54=0),"Head "&amp;Table_10_UK!A45&amp;", "&amp;Table_10_UK!A54&amp;" ("&amp;Table_10_UK!K45&amp;", "&amp;Table_10_UK!K54&amp;"), ",IF(AND(Table_10_UK!L45&gt;0,Table_10_UK!L54=0),"Head "&amp;Table_10_UK!A45&amp;", "&amp;Table_10_UK!A54&amp;" ("&amp;Table_10_UK!L45&amp;", "&amp;Table_10_UK!L54&amp;"), ",IF(AND(Table_10_UK!M45&gt;0,Table_10_UK!M54=0),"Head "&amp;Table_10_UK!A45&amp;", "&amp;Table_10_UK!A54&amp;" ("&amp;Table_10_UK!M45&amp;", "&amp;Table_10_UK!M54&amp;"), ",IF(AND(Table_10_UK!N45&gt;0,Table_10_UK!N54=0),"Head "&amp;Table_10_UK!A45&amp;", "&amp;Table_10_UK!A54&amp;" ("&amp;Table_10_UK!N45&amp;", "&amp;Table_10_UK!N54&amp;"), ",IF(AND(Table_10_UK!O45&gt;0,Table_10_UK!O54=0),"Head "&amp;Table_10_UK!A45&amp;", "&amp;Table_10_UK!A54&amp;" ("&amp;Table_10_UK!O45&amp;", "&amp;Table_10_UK!O54&amp;"), ","")))))))</f>
        <v/>
      </c>
      <c r="J190" s="266" t="str">
        <f>Table_10_UK!I45&amp;", "&amp;Table_10_UK!I54&amp;", "&amp;Table_10_UK!J45&amp;", "&amp;Table_10_UK!J54&amp;", "&amp;Table_10_UK!K45&amp;", "&amp;Table_10_UK!K54&amp;", "&amp;Table_10_UK!L45&amp;", "&amp;Table_10_UK!L54&amp;", "&amp;Table_10_UK!M45&amp;", "&amp;Table_10_UK!M54&amp;", "&amp;Table_10_UK!N45&amp;", "&amp;Table_10_UK!N54&amp;", "&amp;Table_10_UK!O45&amp;", "&amp;Table_10_UK!O54</f>
        <v>422, 8.5, 0, 0, 0, 0, 0, 0, 0, 0, 0, 0, 0, 0</v>
      </c>
      <c r="K190" s="192">
        <f t="shared" si="10"/>
        <v>0</v>
      </c>
      <c r="L190" s="192">
        <f t="shared" si="11"/>
        <v>0</v>
      </c>
      <c r="M190" s="25"/>
      <c r="N190" s="25"/>
    </row>
    <row r="191" spans="1:14" customFormat="1" ht="30.5" customHeight="1" x14ac:dyDescent="0.35">
      <c r="A191" s="265" t="s">
        <v>567</v>
      </c>
      <c r="B191" s="671" t="s">
        <v>568</v>
      </c>
      <c r="C191" s="671"/>
      <c r="D191" s="671"/>
      <c r="E191" s="672" t="str">
        <f>Table_10_UK!$A$1&amp;" Head "&amp;Table_10_UK!A45&amp;", "&amp;Table_10_UK!A55</f>
        <v>Table 10: Head 6, 10b</v>
      </c>
      <c r="F191" s="672"/>
      <c r="G191" s="255" t="s">
        <v>238</v>
      </c>
      <c r="H191" s="264" t="str">
        <f>IF(AND(Table_10_UK!I45&gt;0,Table_10_UK!I55=0),"FAIL",IF(AND(Table_10_UK!J45&gt;0,Table_10_UK!J55=0),"FAIL",IF(AND(Table_10_UK!K45&gt;0,Table_10_UK!K55=0),"FAIL",IF(AND(Table_10_UK!L45&gt;0,Table_10_UK!L55=0),"FAIL",IF(AND(Table_10_UK!M45&gt;0,Table_10_UK!M55=0),"FAIL",IF(AND(Table_10_UK!N45&gt;0,Table_10_UK!N55=0),"FAIL",IF(AND(Table_10_UK!O45&gt;0,Table_10_UK!O55=0),"FAIL","PASS")))))))</f>
        <v>PASS</v>
      </c>
      <c r="I191" s="139" t="str">
        <f>IF(AND(Table_10_UK!I45&gt;0,Table_10_UK!I55=0),"Head "&amp;Table_10_UK!A45&amp;", "&amp;Table_10_UK!A55&amp;" ("&amp;Table_10_UK!I45&amp;", "&amp;Table_10_UK!I55&amp;"), ",IF(AND(Table_10_UK!J45&gt;0,Table_10_UK!J55=0),"Head "&amp;Table_10_UK!A45&amp;", "&amp;Table_10_UK!A55&amp;" ("&amp;Table_10_UK!J45&amp;", "&amp;Table_10_UK!J55&amp;"), ",IF(AND(Table_10_UK!K45&gt;0,Table_10_UK!K55=0),"Head "&amp;Table_10_UK!A45&amp;", "&amp;Table_10_UK!A55&amp;" ("&amp;Table_10_UK!K45&amp;", "&amp;Table_10_UK!K55&amp;"), ",IF(AND(Table_10_UK!L45&gt;0,Table_10_UK!L55=0),"Head "&amp;Table_10_UK!A45&amp;", "&amp;Table_10_UK!A55&amp;" ("&amp;Table_10_UK!L45&amp;", "&amp;Table_10_UK!L55&amp;"), ",IF(AND(Table_10_UK!M45&gt;0,Table_10_UK!M55=0),"Head "&amp;Table_10_UK!A45&amp;", "&amp;Table_10_UK!A55&amp;" ("&amp;Table_10_UK!M45&amp;", "&amp;Table_10_UK!M55&amp;"), ",IF(AND(Table_10_UK!N45&gt;0,Table_10_UK!N55=0),"Head "&amp;Table_10_UK!A45&amp;", "&amp;Table_10_UK!A55&amp;" ("&amp;Table_10_UK!N45&amp;", "&amp;Table_10_UK!N55&amp;"), ",IF(AND(Table_10_UK!O45&gt;0,Table_10_UK!O55=0),"Head "&amp;Table_10_UK!A45&amp;", "&amp;Table_10_UK!A55&amp;" ("&amp;Table_10_UK!O45&amp;", "&amp;Table_10_UK!O55&amp;"), ","")))))))</f>
        <v/>
      </c>
      <c r="J191" s="266" t="str">
        <f>Table_10_UK!I45&amp;", "&amp;Table_10_UK!I55&amp;", "&amp;Table_10_UK!J45&amp;", "&amp;Table_10_UK!J55&amp;", "&amp;Table_10_UK!K45&amp;", "&amp;Table_10_UK!K55&amp;", "&amp;Table_10_UK!L45&amp;", "&amp;Table_10_UK!L55&amp;", "&amp;Table_10_UK!M45&amp;", "&amp;Table_10_UK!M55&amp;", "&amp;Table_10_UK!N45&amp;", "&amp;Table_10_UK!N55&amp;", "&amp;Table_10_UK!O45&amp;", "&amp;Table_10_UK!O55</f>
        <v>422, 10.1, 0, 0, 0, 0, 0, 0, 0, 0, 0, 0, 0, 0</v>
      </c>
      <c r="K191" s="192">
        <f t="shared" si="10"/>
        <v>0</v>
      </c>
      <c r="L191" s="192">
        <f t="shared" si="11"/>
        <v>0</v>
      </c>
      <c r="M191" s="25"/>
      <c r="N191" s="25"/>
    </row>
    <row r="192" spans="1:14" customFormat="1" ht="30.5" customHeight="1" x14ac:dyDescent="0.35">
      <c r="A192" s="265" t="s">
        <v>569</v>
      </c>
      <c r="B192" s="671" t="s">
        <v>570</v>
      </c>
      <c r="C192" s="671"/>
      <c r="D192" s="671"/>
      <c r="E192" s="672" t="str">
        <f>Table_11_UK!$A$1&amp;" Head "&amp;Table_11_UK!A27</f>
        <v>Table 11: Head 3a</v>
      </c>
      <c r="F192" s="672"/>
      <c r="G192" s="255" t="s">
        <v>238</v>
      </c>
      <c r="H192" s="140" t="str">
        <f>IF(AND($B$4="S",OR(Table_11_UK!H27&lt;&gt;0,Table_11_UK!I27&lt;&gt;0)),"FAIL","PASS")</f>
        <v>PASS</v>
      </c>
      <c r="I192" s="139" t="str">
        <f>IF(AND($B$4="S",OR(Table_11_UK!H27&lt;&gt;0,Table_11_UK!I27&lt;&gt;0)),"Head "&amp;Table_11_UK!A27&amp;" ("&amp;J192&amp;")","")</f>
        <v/>
      </c>
      <c r="J192" s="257" t="str">
        <f>Table_11_UK!H27&amp;", "&amp;Table_11_UK!I27</f>
        <v>0, 0</v>
      </c>
      <c r="K192" s="192">
        <f t="shared" si="10"/>
        <v>0</v>
      </c>
      <c r="L192" s="192">
        <f t="shared" si="11"/>
        <v>0</v>
      </c>
      <c r="M192" s="25"/>
      <c r="N192" s="25"/>
    </row>
    <row r="193" spans="1:14" customFormat="1" ht="30.5" customHeight="1" x14ac:dyDescent="0.35">
      <c r="A193" s="265" t="s">
        <v>571</v>
      </c>
      <c r="B193" s="671" t="s">
        <v>572</v>
      </c>
      <c r="C193" s="671"/>
      <c r="D193" s="671"/>
      <c r="E193" s="672" t="str">
        <f>Table_11_UK!$A$1&amp;" Head "&amp;Table_11_UK!A14&amp;", "&amp;Table_11_UK!A15</f>
        <v>Table 11: Head 1i, 1j</v>
      </c>
      <c r="F193" s="672"/>
      <c r="G193" s="255" t="s">
        <v>238</v>
      </c>
      <c r="H193" s="140" t="str">
        <f>IF(Table_11_UK!H14+Table_11_UK!H15=0,"FAIL","PASS")</f>
        <v>FAIL</v>
      </c>
      <c r="I193" s="139" t="str">
        <f>IF(Table_11_UK!H14+Table_11_UK!H15=0,"Head "&amp;Table_11_UK!A14&amp;", "&amp;Table_11_UK!A15&amp;" ("&amp;J193&amp;")","")</f>
        <v>Head 1i, 1j (0, 0)</v>
      </c>
      <c r="J193" s="257" t="str">
        <f>Table_11_UK!H14&amp;", "&amp;Table_11_UK!H15</f>
        <v>0, 0</v>
      </c>
      <c r="K193" s="192">
        <f t="shared" si="10"/>
        <v>0</v>
      </c>
      <c r="L193" s="192">
        <f t="shared" si="11"/>
        <v>1</v>
      </c>
      <c r="M193" s="25"/>
      <c r="N193" s="25"/>
    </row>
    <row r="194" spans="1:14" customFormat="1" ht="30.5" customHeight="1" x14ac:dyDescent="0.35">
      <c r="A194" s="265" t="s">
        <v>573</v>
      </c>
      <c r="B194" s="671" t="s">
        <v>574</v>
      </c>
      <c r="C194" s="671"/>
      <c r="D194" s="671"/>
      <c r="E194" s="267" t="str">
        <f>Table_11_UK!$A$1&amp;" Head "&amp;Table_11_UK!A6&amp;", "&amp;Table_11_UK!A7</f>
        <v>Table 11: Head 1a, 1b</v>
      </c>
      <c r="F194" s="267"/>
      <c r="G194" s="255" t="s">
        <v>238</v>
      </c>
      <c r="H194" s="271" t="str">
        <f>IF(OR(Table_11_UK!H6=0,Table_11_UK!H7=0),"FAIL","PASS")</f>
        <v>PASS</v>
      </c>
      <c r="I194" s="139" t="str">
        <f>IF(OR(Table_11_UK!H6=0,Table_11_UK!H7=0),"Head "&amp;Table_11_UK!A6&amp;", "&amp;Table_11_UK!A7&amp;" ("&amp;J194&amp;")","")</f>
        <v/>
      </c>
      <c r="J194" s="257" t="str">
        <f>Table_11_UK!H6&amp;", "&amp;Table_11_UK!H7</f>
        <v>316062, 299148</v>
      </c>
      <c r="K194" s="192">
        <f t="shared" si="10"/>
        <v>0</v>
      </c>
      <c r="L194" s="192">
        <f t="shared" si="11"/>
        <v>0</v>
      </c>
      <c r="M194" s="25"/>
      <c r="N194" s="25"/>
    </row>
    <row r="195" spans="1:14" customFormat="1" ht="30.5" customHeight="1" x14ac:dyDescent="0.35">
      <c r="A195" s="265" t="s">
        <v>575</v>
      </c>
      <c r="B195" s="671" t="s">
        <v>576</v>
      </c>
      <c r="C195" s="671"/>
      <c r="D195" s="671"/>
      <c r="E195" s="267" t="str">
        <f>Table_11_UK!$A$1&amp;" Head "&amp;Table_11_UK!A6&amp;", "&amp;Table_11_UK!A7</f>
        <v>Table 11: Head 1a, 1b</v>
      </c>
      <c r="F195" s="267"/>
      <c r="G195" s="255" t="s">
        <v>238</v>
      </c>
      <c r="H195" s="271" t="str">
        <f>IF(OR(Table_11_UK!I6=0,Table_11_UK!I7=0),"FAIL","PASS")</f>
        <v>PASS</v>
      </c>
      <c r="I195" s="139" t="str">
        <f>IF(OR(Table_11_UK!I6=0,Table_11_UK!I7=0),"Head "&amp;Table_11_UK!A6&amp;", "&amp;Table_11_UK!A7&amp;" ("&amp;J195&amp;")","")</f>
        <v/>
      </c>
      <c r="J195" s="257" t="str">
        <f>Table_11_UK!I6&amp;", "&amp;Table_11_UK!I7</f>
        <v>293511, 267616</v>
      </c>
      <c r="K195" s="192">
        <f t="shared" si="10"/>
        <v>0</v>
      </c>
      <c r="L195" s="192">
        <f t="shared" si="11"/>
        <v>0</v>
      </c>
      <c r="M195" s="25"/>
      <c r="N195" s="25"/>
    </row>
    <row r="196" spans="1:14" customFormat="1" ht="30.5" customHeight="1" x14ac:dyDescent="0.35">
      <c r="A196" s="265" t="s">
        <v>577</v>
      </c>
      <c r="B196" s="671" t="s">
        <v>578</v>
      </c>
      <c r="C196" s="671"/>
      <c r="D196" s="671"/>
      <c r="E196" s="672" t="str">
        <f>Table_11_UK!$A$1&amp;" Head "&amp;Table_11_UK!A17&amp;", "&amp;Table_7_UK!$A$1&amp;" Head "&amp;Table_7_UK!A106</f>
        <v>Table 11: Head 1l, Table 7: Head 8</v>
      </c>
      <c r="F196" s="672"/>
      <c r="G196" s="255" t="s">
        <v>238</v>
      </c>
      <c r="H196" s="271" t="str">
        <f>IF(Table_7_UK!J106&lt;&gt;Table_11_UK!H17,"FAIL","PASS")</f>
        <v>PASS</v>
      </c>
      <c r="I196" s="139" t="str">
        <f>IF(OR(Table_11_UK!H17&lt;&gt;Table_7_UK!J106),"Head "&amp;Table_11_UK!A17&amp;", "&amp;Table_7_UK!A106&amp;" ("&amp;J196&amp;")","")</f>
        <v/>
      </c>
      <c r="J196" s="257" t="str">
        <f>Table_11_UK!H17&amp;", "&amp;Table_7_UK!J106</f>
        <v>829295, 829295</v>
      </c>
      <c r="K196" s="192">
        <f t="shared" si="10"/>
        <v>0</v>
      </c>
      <c r="L196" s="192">
        <f t="shared" si="11"/>
        <v>0</v>
      </c>
      <c r="M196" s="25"/>
      <c r="N196" s="25"/>
    </row>
    <row r="197" spans="1:14" customFormat="1" ht="30.5" customHeight="1" x14ac:dyDescent="0.35">
      <c r="A197" s="265" t="s">
        <v>579</v>
      </c>
      <c r="B197" s="671" t="s">
        <v>580</v>
      </c>
      <c r="C197" s="671"/>
      <c r="D197" s="671"/>
      <c r="E197" s="672" t="str">
        <f>Table_11_UK!$A$1&amp;" Head "&amp;Table_11_UK!A17&amp;", "&amp;Table_1_UK!$A$1&amp;" Head "&amp;Table_1_UK!A15</f>
        <v>Table 11: Head 1l, Table 1: Head 2a</v>
      </c>
      <c r="F197" s="672"/>
      <c r="G197" s="255" t="s">
        <v>238</v>
      </c>
      <c r="H197" s="271" t="str">
        <f>IF(Table_1_UK!I15&lt;&gt;Table_11_UK!I17,"FAIL","PASS")</f>
        <v>PASS</v>
      </c>
      <c r="I197" s="139" t="str">
        <f>IF(OR(Table_11_UK!I17&lt;&gt;Table_1_UK!I15),"Head "&amp;Table_11_UK!A17&amp;", "&amp;Table_1_UK!A15&amp;" ("&amp;J197&amp;")","")</f>
        <v/>
      </c>
      <c r="J197" s="257" t="str">
        <f>Table_11_UK!I17&amp;", "&amp;Table_1_UK!I15</f>
        <v>403468, 403468</v>
      </c>
      <c r="K197" s="192">
        <f t="shared" si="10"/>
        <v>0</v>
      </c>
      <c r="L197" s="192">
        <f t="shared" si="11"/>
        <v>0</v>
      </c>
      <c r="M197" s="25"/>
      <c r="N197" s="25"/>
    </row>
    <row r="198" spans="1:14" customFormat="1" ht="30.5" customHeight="1" x14ac:dyDescent="0.35">
      <c r="A198" s="265" t="s">
        <v>581</v>
      </c>
      <c r="B198" s="671" t="s">
        <v>582</v>
      </c>
      <c r="C198" s="671"/>
      <c r="D198" s="671"/>
      <c r="E198" s="672" t="str">
        <f>Table_12_UK!$A$1&amp;" Head "&amp;Table_12_UK!A6&amp;", "&amp;Table_12_UK!A7&amp;", "&amp;Table_12_UK!A10&amp;", "&amp;Table_10_UK!$A$1&amp;" Head "&amp;Table_10_UK!A22</f>
        <v>Table 12: Head 1a, 1b, 1e, Table 10: Head 2h</v>
      </c>
      <c r="F198" s="672"/>
      <c r="G198" s="255" t="s">
        <v>238</v>
      </c>
      <c r="H198" s="260" t="str">
        <f>IF(Table_12_UK!H6+Table_12_UK!H7+Table_12_UK!H10&lt;&gt;Table_10_UK!P22,"FAIL","PASS")</f>
        <v>PASS</v>
      </c>
      <c r="I198" s="139" t="str">
        <f>IF(Table_12_UK!H6+Table_12_UK!H7+Table_12_UK!H10&lt;&gt;Table_10_UK!P22,Table_12_UK!$A$1&amp;" Head "&amp;Table_12_UK!A6&amp;", "&amp;Table_12_UK!A7&amp;", "&amp;Table_12_UK!A10&amp;" ("&amp;Table_12_UK!H6+Table_12_UK!H7+Table_12_UK!H10&amp;")"&amp;", "&amp;Table_10_UK!$A$1&amp;" Head "&amp;Table_10_UK!A22&amp;" ("&amp;Table_10_UK!P22&amp;")","")</f>
        <v/>
      </c>
      <c r="J198" s="257" t="str">
        <f>Table_12_UK!H6+Table_12_UK!H7+Table_12_UK!H10&amp;", "&amp;Table_10_UK!P22</f>
        <v>0, 0</v>
      </c>
      <c r="K198" s="192">
        <f t="shared" si="10"/>
        <v>0</v>
      </c>
      <c r="L198" s="192">
        <f t="shared" si="11"/>
        <v>0</v>
      </c>
      <c r="M198" s="25"/>
      <c r="N198" s="25"/>
    </row>
    <row r="199" spans="1:14" customFormat="1" ht="30.5" customHeight="1" x14ac:dyDescent="0.35">
      <c r="A199" s="265" t="s">
        <v>583</v>
      </c>
      <c r="B199" s="671" t="s">
        <v>584</v>
      </c>
      <c r="C199" s="671"/>
      <c r="D199" s="671"/>
      <c r="E199" s="672" t="str">
        <f>Table_12_UK!$A$1&amp;" Head "&amp;Table_12_UK!A6&amp;", "&amp;Table_12_UK!A7&amp;", "&amp;Table_12_UK!A10&amp;", "&amp;Table_10_UK!$A$1&amp;" Head "&amp;Table_10_UK!A22</f>
        <v>Table 12: Head 1a, 1b, 1e, Table 10: Head 2h</v>
      </c>
      <c r="F199" s="672"/>
      <c r="G199" s="255" t="s">
        <v>238</v>
      </c>
      <c r="H199" s="260" t="str">
        <f>IF(Table_12_UK!I6+Table_12_UK!I7+Table_12_UK!I10&lt;&gt;Table_10_UK!Q22,"FAIL","PASS")</f>
        <v>PASS</v>
      </c>
      <c r="I199" s="139" t="str">
        <f>IF(Table_12_UK!I6+Table_12_UK!I7+Table_12_UK!I10&lt;&gt;Table_10_UK!Q22,Table_12_UK!$A$1&amp;" Head "&amp;Table_12_UK!A6&amp;", "&amp;Table_12_UK!A7&amp;", "&amp;Table_12_UK!A10&amp;" ("&amp;Table_12_UK!I6+Table_12_UK!I7+Table_12_UK!I10&amp;")"&amp;", "&amp;Table_10_UK!$A$1&amp;" Head "&amp;Table_10_UK!A22&amp;" ("&amp;Table_10_UK!Q22&amp;")","")</f>
        <v/>
      </c>
      <c r="J199" s="257" t="str">
        <f>Table_12_UK!I6+Table_12_UK!I7+Table_12_UK!I10&amp;", "&amp;Table_10_UK!Q22</f>
        <v>0, 0</v>
      </c>
      <c r="K199" s="192">
        <f t="shared" si="10"/>
        <v>0</v>
      </c>
      <c r="L199" s="192">
        <f t="shared" si="11"/>
        <v>0</v>
      </c>
      <c r="M199" s="25"/>
      <c r="N199" s="25"/>
    </row>
    <row r="200" spans="1:14" customFormat="1" ht="30.5" customHeight="1" x14ac:dyDescent="0.35">
      <c r="A200" s="265" t="s">
        <v>585</v>
      </c>
      <c r="B200" s="671" t="s">
        <v>586</v>
      </c>
      <c r="C200" s="671"/>
      <c r="D200" s="671"/>
      <c r="E200" s="672" t="str">
        <f>Table_12_UK!$A$1&amp;" Head "&amp;Table_12_UK!A6&amp;", "&amp;Table_12_UK!A7&amp;", "&amp;Table_12_UK!A8&amp;", "&amp;Table_12_UK!A10&amp;", "&amp;Table_12_UK!A13&amp;" "&amp;Table_12_UK!A14&amp;", "&amp;Table_12_UK!A15&amp;", "&amp;Table_12_UK!A16&amp;" "&amp;Table_12_UK!A17&amp;", "&amp;Table_12_UK!A18</f>
        <v>Table 12: Head 1a, 1b, 1c, 1e, 2a i, ii, 2b i, ii</v>
      </c>
      <c r="F200" s="672"/>
      <c r="G200" s="255" t="s">
        <v>238</v>
      </c>
      <c r="H200" s="260" t="str">
        <f>IF(AND(Table_12_UK!H20="No",(Table_12_UK!H6+Table_12_UK!H7+Table_12_UK!H8+Table_12_UK!H10+Table_12_UK!H14+Table_12_UK!H15+Table_12_UK!H17+Table_12_UK!H18&lt;=0)),"FAIL","PASS")</f>
        <v>PASS</v>
      </c>
      <c r="I200" s="139" t="str">
        <f>IF(AND(Table_12_UK!H20="No",(Table_12_UK!H6+Table_12_UK!H7+Table_12_UK!H8+Table_12_UK!H10+Table_12_UK!H14+Table_12_UK!H15+Table_12_UK!H17+Table_12_UK!H18&lt;=0)),Table_12_UK!$A$1&amp;" Head "&amp;Table_12_UK!A6&amp;", "&amp;Table_12_UK!A7&amp;", "&amp;Table_12_UK!A8&amp;", "&amp;Table_12_UK!A10&amp;", "&amp;Table_12_UK!A13&amp;" "&amp;Table_12_UK!A14&amp;", "&amp;Table_12_UK!A15&amp;", "&amp;Table_12_UK!A16&amp;" "&amp;Table_12_UK!A17&amp;", "&amp;Table_12_UK!A18,"")</f>
        <v/>
      </c>
      <c r="J200" s="261" t="str">
        <f>CONCATENATE(SUM(Table_12_UK!H6+Table_12_UK!H7+Table_12_UK!H8+Table_12_UK!H10+Table_12_UK!H14+Table_12_UK!H15+Table_12_UK!H17+Table_12_UK!H18)," ,",Table_12_UK!H20)</f>
        <v>576 ,No</v>
      </c>
      <c r="K200" s="192">
        <f t="shared" si="10"/>
        <v>0</v>
      </c>
      <c r="L200" s="192">
        <f t="shared" si="11"/>
        <v>0</v>
      </c>
      <c r="M200" s="25"/>
      <c r="N200" s="25"/>
    </row>
    <row r="201" spans="1:14" customFormat="1" ht="30.5" customHeight="1" x14ac:dyDescent="0.35">
      <c r="A201" s="265" t="s">
        <v>587</v>
      </c>
      <c r="B201" s="671" t="s">
        <v>588</v>
      </c>
      <c r="C201" s="671"/>
      <c r="D201" s="671"/>
      <c r="E201" s="672" t="str">
        <f>Table_12_UK!$A$1&amp;" Head "&amp;Table_12_UK!A13&amp;Table_12_UK!A14&amp;", "&amp;Table_12_UK!A20</f>
        <v>Table 12: Head 2ai, 3</v>
      </c>
      <c r="F201" s="672"/>
      <c r="G201" s="255" t="s">
        <v>238</v>
      </c>
      <c r="H201" s="260" t="str">
        <f>IF(AND(Table_12_UK!H20="Yes",Table_12_UK!H14&gt;0),"FAIL","PASS")</f>
        <v>PASS</v>
      </c>
      <c r="I201" s="139" t="str">
        <f>IF(AND(Table_12_UK!H20="Yes",Table_12_UK!H14&gt;0),"Head "&amp;Table_12_UK!A13&amp;Table_12_UK!A14&amp;" ("&amp;J201&amp;", "&amp;Table_12_UK!H20&amp;")","")</f>
        <v/>
      </c>
      <c r="J201" s="261">
        <f>Table_12_UK!H14</f>
        <v>568</v>
      </c>
      <c r="K201" s="192">
        <f t="shared" si="10"/>
        <v>0</v>
      </c>
      <c r="L201" s="192">
        <f t="shared" si="11"/>
        <v>0</v>
      </c>
      <c r="M201" s="25"/>
      <c r="N201" s="25"/>
    </row>
    <row r="202" spans="1:14" customFormat="1" ht="30.5" customHeight="1" x14ac:dyDescent="0.35">
      <c r="A202" s="265" t="s">
        <v>589</v>
      </c>
      <c r="B202" s="671" t="s">
        <v>590</v>
      </c>
      <c r="C202" s="671"/>
      <c r="D202" s="671"/>
      <c r="E202" s="672" t="str">
        <f>Table_12_UK!$A$1&amp;" Head "&amp;Table_12_UK!A8&amp;", "&amp;Table_12_UK!A9</f>
        <v>Table 12: Head 1c, 1d</v>
      </c>
      <c r="F202" s="672"/>
      <c r="G202" s="255" t="s">
        <v>238</v>
      </c>
      <c r="H202" s="260" t="str">
        <f>IF(AND(Table_12_UK!H8&lt;&gt;0,OR(Table_12_UK!H9="Please type nature of the benefits here",ISBLANK(Table_12_UK!H9))),"FAIL","PASS")</f>
        <v>PASS</v>
      </c>
      <c r="I202" s="139" t="str">
        <f>IF(AND(Table_12_UK!H8&lt;&gt;0,OR(Table_12_UK!H9="Please type nature of the benefits here",ISBLANK(Table_12_UK!H9))),"Head "&amp;Table_12_UK!A8&amp;" ("&amp;J202&amp;")","")</f>
        <v/>
      </c>
      <c r="J202" s="272">
        <f>Table_12_UK!H8</f>
        <v>0</v>
      </c>
      <c r="K202" s="192">
        <f t="shared" si="10"/>
        <v>0</v>
      </c>
      <c r="L202" s="192">
        <f t="shared" si="11"/>
        <v>0</v>
      </c>
      <c r="M202" s="25"/>
      <c r="N202" s="25"/>
    </row>
    <row r="203" spans="1:14" customFormat="1" ht="30.5" customHeight="1" x14ac:dyDescent="0.35">
      <c r="A203" s="265" t="s">
        <v>591</v>
      </c>
      <c r="B203" s="671" t="s">
        <v>592</v>
      </c>
      <c r="C203" s="671"/>
      <c r="D203" s="671"/>
      <c r="E203" s="672" t="str">
        <f>Table_12_UK!$A$1&amp;" Head "&amp;Table_12_UK!A6&amp;", "&amp;Table_12_UK!A7&amp;", "&amp;Table_12_UK!A8&amp;", "&amp;Table_12_UK!A10&amp;", "&amp;Table_12_UK!A13&amp;" "&amp;Table_12_UK!A14&amp;", "&amp;Table_12_UK!A15&amp;", "&amp;Table_12_UK!A16&amp;" "&amp;Table_12_UK!A17&amp;", "&amp;Table_12_UK!A18</f>
        <v>Table 12: Head 1a, 1b, 1c, 1e, 2a i, ii, 2b i, ii</v>
      </c>
      <c r="F203" s="672"/>
      <c r="G203" s="255" t="s">
        <v>238</v>
      </c>
      <c r="H203" s="260" t="str">
        <f>IF(OR(AND(Table_12_UK!I20="No",(Table_12_UK!I6+Table_12_UK!I7+Table_12_UK!I8+Table_12_UK!I10+Table_12_UK!I14+Table_12_UK!I15+Table_12_UK!I17+Table_12_UK!I18&lt;&gt;0)),AND(Table_12_UK!I20="Yes",(Table_12_UK!I6+Table_12_UK!I7+Table_12_UK!I8+Table_12_UK!I10+Table_12_UK!I14+Table_12_UK!I15+Table_12_UK!I17+Table_12_UK!I18&gt;=0))),"PASS","FAIL")</f>
        <v>PASS</v>
      </c>
      <c r="I203" s="139" t="str">
        <f>IF(OR(AND(Table_12_UK!I20="No",(Table_12_UK!I6+Table_12_UK!I7+Table_12_UK!I8+Table_12_UK!I10+Table_12_UK!I14+Table_12_UK!I15+Table_12_UK!I17+Table_12_UK!I18&lt;&gt;0)),AND(Table_12_UK!I20="Yes",(Table_12_UK!I6+Table_12_UK!I7+Table_12_UK!I8+Table_12_UK!I10+Table_12_UK!I14+Table_12_UK!I15+Table_12_UK!I17+Table_12_UK!I18&gt;=0))),"","Head "&amp;Table_12_UK!A6&amp;", "&amp;Table_12_UK!A7&amp;", "&amp;Table_12_UK!A8&amp;", "&amp;Table_12_UK!A10&amp;", "&amp;Table_12_UK!A13&amp;" "&amp;Table_12_UK!A14&amp;", "&amp;Table_12_UK!A15&amp;", "&amp;Table_12_UK!A16&amp;" "&amp;Table_12_UK!A17&amp;", "&amp;Table_12_UK!A18)</f>
        <v/>
      </c>
      <c r="J203" s="261" t="str">
        <f>CONCATENATE(SUM(Table_12_UK!I6+Table_12_UK!I7+Table_12_UK!I8+Table_12_UK!I10+Table_12_UK!I14+Table_12_UK!I15+Table_12_UK!I17+Table_12_UK!I18)," ,",Table_12_UK!I20)</f>
        <v>0 ,Yes</v>
      </c>
      <c r="K203" s="192">
        <f t="shared" si="10"/>
        <v>0</v>
      </c>
      <c r="L203" s="192">
        <f t="shared" si="11"/>
        <v>0</v>
      </c>
      <c r="M203" s="25"/>
      <c r="N203" s="25"/>
    </row>
    <row r="204" spans="1:14" customFormat="1" ht="30.5" customHeight="1" x14ac:dyDescent="0.35">
      <c r="A204" s="265" t="s">
        <v>593</v>
      </c>
      <c r="B204" s="671" t="s">
        <v>594</v>
      </c>
      <c r="C204" s="671"/>
      <c r="D204" s="671"/>
      <c r="E204" s="672" t="str">
        <f>Table_12_UK!$A$1&amp;" Head "&amp;Table_12_UK!A6&amp;", "&amp;Table_12_UK!A7&amp;", "&amp;Table_12_UK!A8&amp;", "&amp;Table_12_UK!A10&amp;", "&amp;Table_12_UK!A13&amp;" "&amp;Table_12_UK!A14&amp;", "&amp;Table_12_UK!A15&amp;", "&amp;Table_12_UK!A16&amp;" "&amp;Table_12_UK!A17&amp;", "&amp;Table_12_UK!A18</f>
        <v>Table 12: Head 1a, 1b, 1c, 1e, 2a i, ii, 2b i, ii</v>
      </c>
      <c r="F204" s="672"/>
      <c r="G204" s="255" t="s">
        <v>238</v>
      </c>
      <c r="H204" s="260" t="str">
        <f>IF(OR(AND(Table_12_UK!H20="Yes",(Table_12_UK!H6+Table_12_UK!H7+Table_12_UK!H8+Table_12_UK!H10+Table_12_UK!H14+Table_12_UK!H15+Table_12_UK!H17+Table_12_UK!H18=0)),AND(Table_12_UK!H20="No",(Table_12_UK!H6+Table_12_UK!H7+Table_12_UK!H8+Table_12_UK!H10+Table_12_UK!H14+Table_12_UK!H15+Table_12_UK!H17+Table_12_UK!H18&gt;0))),"PASS","FAIL")</f>
        <v>PASS</v>
      </c>
      <c r="I204" s="139" t="str">
        <f>IF(OR(AND(Table_12_UK!H20="Yes",(Table_12_UK!H6+Table_12_UK!H7+Table_12_UK!H8+Table_12_UK!H10+Table_12_UK!H14+Table_12_UK!H15+Table_12_UK!H17+Table_12_UK!H18=0)),AND(Table_12_UK!H20="No",(Table_12_UK!H6+Table_12_UK!H7+Table_12_UK!H8+Table_12_UK!H10+Table_12_UK!H14+Table_12_UK!H15+Table_12_UK!H17+Table_12_UK!H18&gt;0))),"","Head "&amp;Table_12_UK!A6&amp;", "&amp;Table_12_UK!A7&amp;", "&amp;Table_12_UK!A8&amp;", "&amp;Table_12_UK!A10&amp;", "&amp;Table_12_UK!A13&amp;" "&amp;Table_12_UK!A14&amp;", "&amp;Table_12_UK!A15&amp;", "&amp;Table_12_UK!A16&amp;" "&amp;Table_12_UK!A17&amp;", "&amp;Table_12_UK!A18&amp;" ("&amp;J204&amp;")")</f>
        <v/>
      </c>
      <c r="J204" s="261" t="str">
        <f>CONCATENATE(SUM(Table_12_UK!H6+Table_12_UK!H7+Table_12_UK!H8+Table_12_UK!H10+Table_12_UK!H14+Table_12_UK!H15+Table_12_UK!H17+Table_12_UK!H18)," ,",Table_12_UK!H20)</f>
        <v>576 ,No</v>
      </c>
      <c r="K204" s="192">
        <f t="shared" si="10"/>
        <v>0</v>
      </c>
      <c r="L204" s="192">
        <f t="shared" si="11"/>
        <v>0</v>
      </c>
      <c r="M204" s="25"/>
      <c r="N204" s="25"/>
    </row>
    <row r="205" spans="1:14" customFormat="1" ht="30.5" customHeight="1" x14ac:dyDescent="0.35">
      <c r="A205" s="265" t="s">
        <v>595</v>
      </c>
      <c r="B205" s="671" t="s">
        <v>596</v>
      </c>
      <c r="C205" s="671"/>
      <c r="D205" s="671"/>
      <c r="E205" s="672" t="str">
        <f>Table_12_UK!$A$1&amp;" Head "&amp;Table_12_UK!A6&amp;", "&amp;Table_12_UK!A7&amp;", "&amp;Table_12_UK!A8&amp;", "&amp;Table_12_UK!A10&amp;", "&amp;Table_12_UK!A13&amp;" "&amp;Table_12_UK!A14&amp;", "&amp;Table_12_UK!A15&amp;", "&amp;Table_12_UK!A16&amp;" "&amp;Table_12_UK!A17&amp;", "&amp;Table_12_UK!A18</f>
        <v>Table 12: Head 1a, 1b, 1c, 1e, 2a i, ii, 2b i, ii</v>
      </c>
      <c r="F205" s="672"/>
      <c r="G205" s="255" t="s">
        <v>238</v>
      </c>
      <c r="H205" s="260" t="str">
        <f>IF(OR(AND(Table_12_UK!I20="Yes",(Table_12_UK!I6+Table_12_UK!I7+Table_12_UK!I8+Table_12_UK!I10+Table_12_UK!I14+Table_12_UK!I15+Table_12_UK!I17+Table_12_UK!I18=0)),AND(Table_12_UK!I20="No",(Table_12_UK!I6+Table_12_UK!I7+Table_12_UK!I8+Table_12_UK!I10+Table_12_UK!I14+Table_12_UK!I15+Table_12_UK!I17+Table_12_UK!I18&gt;0))),"PASS","FAIL")</f>
        <v>PASS</v>
      </c>
      <c r="I205" s="139" t="str">
        <f>IF(OR(AND(Table_12_UK!I20="Yes",(Table_12_UK!I6+Table_12_UK!I7+Table_12_UK!I8+Table_12_UK!I10+Table_12_UK!I14+Table_12_UK!I15+Table_12_UK!I17+Table_12_UK!I18=0)),AND(Table_12_UK!I20="No",(Table_12_UK!I6+Table_12_UK!I7+Table_12_UK!I8+Table_12_UK!I10+Table_12_UK!I14+Table_12_UK!I15+Table_12_UK!I17+Table_12_UK!I18&gt;0))),"","Head "&amp;Table_12_UK!A6&amp;", "&amp;Table_12_UK!A7&amp;", "&amp;Table_12_UK!A8&amp;", "&amp;Table_12_UK!A10&amp;", "&amp;Table_12_UK!A13&amp;" "&amp;Table_12_UK!A14&amp;", "&amp;Table_12_UK!A15&amp;", "&amp;Table_12_UK!A16&amp;" "&amp;Table_12_UK!A17&amp;", "&amp;Table_12_UK!A18&amp;" ("&amp;J205&amp;")")</f>
        <v/>
      </c>
      <c r="J205" s="261" t="str">
        <f>CONCATENATE(SUM(Table_12_UK!I6+Table_12_UK!I7+Table_12_UK!I8+Table_12_UK!I10+Table_12_UK!I14+Table_12_UK!I15+Table_12_UK!I17+Table_12_UK!I18)," ,",Table_12_UK!I20)</f>
        <v>0 ,Yes</v>
      </c>
      <c r="K205" s="192">
        <f t="shared" si="10"/>
        <v>0</v>
      </c>
      <c r="L205" s="192">
        <f t="shared" si="11"/>
        <v>0</v>
      </c>
      <c r="M205" s="25"/>
      <c r="N205" s="25"/>
    </row>
    <row r="208" spans="1:14" customFormat="1" ht="13" customHeight="1" x14ac:dyDescent="0.35">
      <c r="A208" s="25"/>
      <c r="B208" s="273"/>
      <c r="C208" s="25"/>
      <c r="D208" s="25"/>
      <c r="E208" s="25"/>
      <c r="F208" s="25"/>
      <c r="G208" s="25"/>
      <c r="H208" s="25"/>
      <c r="I208" s="25"/>
      <c r="J208" s="25"/>
      <c r="K208" s="25"/>
      <c r="L208" s="25"/>
      <c r="M208" s="25"/>
      <c r="N208" s="25"/>
    </row>
  </sheetData>
  <mergeCells count="361">
    <mergeCell ref="A6:B6"/>
    <mergeCell ref="B24:D24"/>
    <mergeCell ref="E24:F24"/>
    <mergeCell ref="B25:D25"/>
    <mergeCell ref="E25:F25"/>
    <mergeCell ref="B26:D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2:D52"/>
    <mergeCell ref="E52:F52"/>
    <mergeCell ref="B53:D53"/>
    <mergeCell ref="E53:F53"/>
    <mergeCell ref="B54:D54"/>
    <mergeCell ref="E54:F54"/>
    <mergeCell ref="B55:D55"/>
    <mergeCell ref="E55:F55"/>
    <mergeCell ref="B56:D56"/>
    <mergeCell ref="E56:F56"/>
    <mergeCell ref="B57:D57"/>
    <mergeCell ref="E57:F57"/>
    <mergeCell ref="B58:D58"/>
    <mergeCell ref="E58:F58"/>
    <mergeCell ref="B59:D59"/>
    <mergeCell ref="E59:F59"/>
    <mergeCell ref="B60:D60"/>
    <mergeCell ref="E60:F60"/>
    <mergeCell ref="B61:D61"/>
    <mergeCell ref="E61:F61"/>
    <mergeCell ref="B62:D62"/>
    <mergeCell ref="E62:F62"/>
    <mergeCell ref="B63:D63"/>
    <mergeCell ref="E63:F63"/>
    <mergeCell ref="B64:D64"/>
    <mergeCell ref="E64:F64"/>
    <mergeCell ref="B65:D65"/>
    <mergeCell ref="E65:F65"/>
    <mergeCell ref="B66:D66"/>
    <mergeCell ref="E66:F66"/>
    <mergeCell ref="B67:D67"/>
    <mergeCell ref="E67:F67"/>
    <mergeCell ref="B68:D68"/>
    <mergeCell ref="E68:F68"/>
    <mergeCell ref="B69:D69"/>
    <mergeCell ref="E69:F69"/>
    <mergeCell ref="B70:D70"/>
    <mergeCell ref="E70:F70"/>
    <mergeCell ref="B71:D71"/>
    <mergeCell ref="E71:F71"/>
    <mergeCell ref="B72:D72"/>
    <mergeCell ref="E72:F72"/>
    <mergeCell ref="B73:D73"/>
    <mergeCell ref="E73:F73"/>
    <mergeCell ref="B74:D74"/>
    <mergeCell ref="E74:F74"/>
    <mergeCell ref="B75:D75"/>
    <mergeCell ref="E75:F75"/>
    <mergeCell ref="B76:D76"/>
    <mergeCell ref="E76:F76"/>
    <mergeCell ref="B77:D77"/>
    <mergeCell ref="E77:F77"/>
    <mergeCell ref="B78:D78"/>
    <mergeCell ref="E78:F78"/>
    <mergeCell ref="B79:D79"/>
    <mergeCell ref="E79:F79"/>
    <mergeCell ref="B80:D80"/>
    <mergeCell ref="E80:F80"/>
    <mergeCell ref="B81:D81"/>
    <mergeCell ref="E81:F81"/>
    <mergeCell ref="B82:D82"/>
    <mergeCell ref="E82:F82"/>
    <mergeCell ref="B83:D83"/>
    <mergeCell ref="E83:F83"/>
    <mergeCell ref="B84:D84"/>
    <mergeCell ref="E84:F84"/>
    <mergeCell ref="B85:D85"/>
    <mergeCell ref="E85:F85"/>
    <mergeCell ref="B86:D86"/>
    <mergeCell ref="E86:F86"/>
    <mergeCell ref="B87:D87"/>
    <mergeCell ref="E87:F87"/>
    <mergeCell ref="B88:D88"/>
    <mergeCell ref="E88:F88"/>
    <mergeCell ref="B89:D89"/>
    <mergeCell ref="E89:F89"/>
    <mergeCell ref="B90:D90"/>
    <mergeCell ref="E90:F90"/>
    <mergeCell ref="B91:D91"/>
    <mergeCell ref="E91:F91"/>
    <mergeCell ref="B92:D92"/>
    <mergeCell ref="E92:F92"/>
    <mergeCell ref="B93:D93"/>
    <mergeCell ref="E93:F93"/>
    <mergeCell ref="B94:D94"/>
    <mergeCell ref="E94:F94"/>
    <mergeCell ref="B95:D95"/>
    <mergeCell ref="E95:F95"/>
    <mergeCell ref="B96:D96"/>
    <mergeCell ref="E96:F96"/>
    <mergeCell ref="B97:D97"/>
    <mergeCell ref="E97:F97"/>
    <mergeCell ref="B98:D98"/>
    <mergeCell ref="E98:F98"/>
    <mergeCell ref="B99:D99"/>
    <mergeCell ref="E99:F99"/>
    <mergeCell ref="B100:D100"/>
    <mergeCell ref="E100:F100"/>
    <mergeCell ref="B101:D101"/>
    <mergeCell ref="E101:F101"/>
    <mergeCell ref="B102:D102"/>
    <mergeCell ref="E102:F102"/>
    <mergeCell ref="B103:D103"/>
    <mergeCell ref="E103:F103"/>
    <mergeCell ref="B104:D104"/>
    <mergeCell ref="E104:F104"/>
    <mergeCell ref="B105:D105"/>
    <mergeCell ref="E105:F105"/>
    <mergeCell ref="B106:D106"/>
    <mergeCell ref="B107:D107"/>
    <mergeCell ref="E107:F107"/>
    <mergeCell ref="B108:D108"/>
    <mergeCell ref="E108:F108"/>
    <mergeCell ref="B109:D109"/>
    <mergeCell ref="E109:F109"/>
    <mergeCell ref="B110:D110"/>
    <mergeCell ref="E110:F110"/>
    <mergeCell ref="B111:D111"/>
    <mergeCell ref="E111:F111"/>
    <mergeCell ref="B112:D112"/>
    <mergeCell ref="E112:F112"/>
    <mergeCell ref="B113:D113"/>
    <mergeCell ref="E113:F113"/>
    <mergeCell ref="B114:D114"/>
    <mergeCell ref="E114:F114"/>
    <mergeCell ref="B115:D115"/>
    <mergeCell ref="E115:F115"/>
    <mergeCell ref="B116:D116"/>
    <mergeCell ref="E116:F116"/>
    <mergeCell ref="B117:D117"/>
    <mergeCell ref="E117:F117"/>
    <mergeCell ref="B118:D118"/>
    <mergeCell ref="E118:F118"/>
    <mergeCell ref="B119:D119"/>
    <mergeCell ref="E119:F119"/>
    <mergeCell ref="B120:D120"/>
    <mergeCell ref="E120:F120"/>
    <mergeCell ref="B121:D121"/>
    <mergeCell ref="E121:F121"/>
    <mergeCell ref="B122:D122"/>
    <mergeCell ref="E122:F122"/>
    <mergeCell ref="B123:D123"/>
    <mergeCell ref="E123:F123"/>
    <mergeCell ref="B124:D124"/>
    <mergeCell ref="E124:F124"/>
    <mergeCell ref="B125:D125"/>
    <mergeCell ref="E125:F125"/>
    <mergeCell ref="B126:D126"/>
    <mergeCell ref="E126:F126"/>
    <mergeCell ref="B127:D127"/>
    <mergeCell ref="E127:F127"/>
    <mergeCell ref="B128:D128"/>
    <mergeCell ref="E128:F128"/>
    <mergeCell ref="B129:D129"/>
    <mergeCell ref="E129:F129"/>
    <mergeCell ref="B130:D130"/>
    <mergeCell ref="E130:F130"/>
    <mergeCell ref="B131:D131"/>
    <mergeCell ref="E131:F131"/>
    <mergeCell ref="B132:D132"/>
    <mergeCell ref="E132:F132"/>
    <mergeCell ref="B133:D133"/>
    <mergeCell ref="E133:F133"/>
    <mergeCell ref="B134:D134"/>
    <mergeCell ref="E134:F134"/>
    <mergeCell ref="B135:D135"/>
    <mergeCell ref="E135:F135"/>
    <mergeCell ref="B136:D136"/>
    <mergeCell ref="E136:F136"/>
    <mergeCell ref="B137:D137"/>
    <mergeCell ref="E137:F137"/>
    <mergeCell ref="B138:D138"/>
    <mergeCell ref="E138:F138"/>
    <mergeCell ref="B139:D139"/>
    <mergeCell ref="E139:F139"/>
    <mergeCell ref="B140:D140"/>
    <mergeCell ref="E140:F140"/>
    <mergeCell ref="B141:D141"/>
    <mergeCell ref="E141:F141"/>
    <mergeCell ref="B142:D142"/>
    <mergeCell ref="E142:F142"/>
    <mergeCell ref="B143:D143"/>
    <mergeCell ref="E143:F143"/>
    <mergeCell ref="B144:D144"/>
    <mergeCell ref="E144:F144"/>
    <mergeCell ref="B145:D145"/>
    <mergeCell ref="E145:F145"/>
    <mergeCell ref="B146:D146"/>
    <mergeCell ref="E146:F146"/>
    <mergeCell ref="B147:D147"/>
    <mergeCell ref="E147:F147"/>
    <mergeCell ref="B148:D148"/>
    <mergeCell ref="E148:F148"/>
    <mergeCell ref="B149:D149"/>
    <mergeCell ref="E149:F149"/>
    <mergeCell ref="B150:D150"/>
    <mergeCell ref="E150:F150"/>
    <mergeCell ref="B151:D151"/>
    <mergeCell ref="E151:F151"/>
    <mergeCell ref="B152:D152"/>
    <mergeCell ref="E152:F152"/>
    <mergeCell ref="B153:D153"/>
    <mergeCell ref="E153:F153"/>
    <mergeCell ref="B154:D154"/>
    <mergeCell ref="E154:F154"/>
    <mergeCell ref="B155:D155"/>
    <mergeCell ref="E155:F155"/>
    <mergeCell ref="B156:D156"/>
    <mergeCell ref="E156:F156"/>
    <mergeCell ref="B157:D157"/>
    <mergeCell ref="E157:F157"/>
    <mergeCell ref="B158:D158"/>
    <mergeCell ref="E158:F158"/>
    <mergeCell ref="B159:D159"/>
    <mergeCell ref="E159:F159"/>
    <mergeCell ref="B160:D160"/>
    <mergeCell ref="E160:F160"/>
    <mergeCell ref="B161:D161"/>
    <mergeCell ref="E161:F161"/>
    <mergeCell ref="B162:D162"/>
    <mergeCell ref="E162:F162"/>
    <mergeCell ref="B163:D163"/>
    <mergeCell ref="E163:F163"/>
    <mergeCell ref="B164:D164"/>
    <mergeCell ref="E164:F164"/>
    <mergeCell ref="B165:D165"/>
    <mergeCell ref="E165:F165"/>
    <mergeCell ref="B166:D166"/>
    <mergeCell ref="E166:F166"/>
    <mergeCell ref="B167:D167"/>
    <mergeCell ref="E167:F167"/>
    <mergeCell ref="B168:D168"/>
    <mergeCell ref="E168:F168"/>
    <mergeCell ref="B169:D169"/>
    <mergeCell ref="E169:F169"/>
    <mergeCell ref="B170:D170"/>
    <mergeCell ref="E170:F170"/>
    <mergeCell ref="B171:D171"/>
    <mergeCell ref="E171:F171"/>
    <mergeCell ref="B172:D172"/>
    <mergeCell ref="E172:F172"/>
    <mergeCell ref="B173:D173"/>
    <mergeCell ref="E173:F173"/>
    <mergeCell ref="B174:D174"/>
    <mergeCell ref="E174:F174"/>
    <mergeCell ref="B175:D175"/>
    <mergeCell ref="E175:F175"/>
    <mergeCell ref="B176:D176"/>
    <mergeCell ref="E176:F176"/>
    <mergeCell ref="B177:D177"/>
    <mergeCell ref="E177:F177"/>
    <mergeCell ref="B178:D178"/>
    <mergeCell ref="E178:F178"/>
    <mergeCell ref="B179:D179"/>
    <mergeCell ref="E179:F179"/>
    <mergeCell ref="B180:D180"/>
    <mergeCell ref="E180:F180"/>
    <mergeCell ref="B181:D181"/>
    <mergeCell ref="E181:F181"/>
    <mergeCell ref="B182:D182"/>
    <mergeCell ref="E182:F182"/>
    <mergeCell ref="B183:D183"/>
    <mergeCell ref="E183:F183"/>
    <mergeCell ref="B184:D184"/>
    <mergeCell ref="E184:F184"/>
    <mergeCell ref="B185:D185"/>
    <mergeCell ref="E185:F185"/>
    <mergeCell ref="B186:D186"/>
    <mergeCell ref="E186:F186"/>
    <mergeCell ref="B187:D187"/>
    <mergeCell ref="E187:F187"/>
    <mergeCell ref="B188:D188"/>
    <mergeCell ref="E188:F188"/>
    <mergeCell ref="B189:D189"/>
    <mergeCell ref="E189:F189"/>
    <mergeCell ref="B190:D190"/>
    <mergeCell ref="E190:F190"/>
    <mergeCell ref="B191:D191"/>
    <mergeCell ref="E191:F191"/>
    <mergeCell ref="B192:D192"/>
    <mergeCell ref="E192:F192"/>
    <mergeCell ref="B193:D193"/>
    <mergeCell ref="E193:F193"/>
    <mergeCell ref="B194:D194"/>
    <mergeCell ref="B195:D195"/>
    <mergeCell ref="B196:D196"/>
    <mergeCell ref="E196:F196"/>
    <mergeCell ref="B197:D197"/>
    <mergeCell ref="E197:F197"/>
    <mergeCell ref="B198:D198"/>
    <mergeCell ref="E198:F198"/>
    <mergeCell ref="B199:D199"/>
    <mergeCell ref="E199:F199"/>
    <mergeCell ref="B205:D205"/>
    <mergeCell ref="E205:F205"/>
    <mergeCell ref="B200:D200"/>
    <mergeCell ref="E200:F200"/>
    <mergeCell ref="B201:D201"/>
    <mergeCell ref="E201:F201"/>
    <mergeCell ref="B202:D202"/>
    <mergeCell ref="E202:F202"/>
    <mergeCell ref="B203:D203"/>
    <mergeCell ref="E203:F203"/>
    <mergeCell ref="B204:D204"/>
    <mergeCell ref="E204:F204"/>
  </mergeCells>
  <phoneticPr fontId="22" type="noConversion"/>
  <conditionalFormatting sqref="D2:D3">
    <cfRule type="expression" dxfId="73" priority="1">
      <formula>ISERROR($D$2)</formula>
    </cfRule>
  </conditionalFormatting>
  <conditionalFormatting sqref="H24:I205">
    <cfRule type="containsText" dxfId="72" priority="2" operator="containsText" text="FAIL">
      <formula>NOT(ISERROR(SEARCH("FAIL",H24)))</formula>
    </cfRule>
  </conditionalFormatting>
  <hyperlinks>
    <hyperlink ref="A14" r:id="rId1" xr:uid="{00000000-0004-0000-0300-000000000000}"/>
    <hyperlink ref="A18" r:id="rId2" xr:uid="{00000000-0004-0000-0300-000001000000}"/>
  </hyperlinks>
  <printOptions headings="1" gridLines="1"/>
  <pageMargins left="0.15748031496062992" right="0.15748031496062992" top="0.35433070866141736" bottom="0.35433070866141736" header="0.11811023622047245" footer="0.11811023622047245"/>
  <pageSetup paperSize="8" scale="44" orientation="portrait" r:id="rId3"/>
  <headerFooter alignWithMargins="0">
    <oddHeader>&amp;R&amp;D</oddHeader>
    <oddFooter>&amp;RPage &amp;P of &amp;N, &amp;A</oddFooter>
  </headerFooter>
  <ignoredErrors>
    <ignoredError sqref="H72:H7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X58"/>
  <sheetViews>
    <sheetView zoomScale="90" zoomScaleNormal="90" workbookViewId="0">
      <pane ySplit="4" topLeftCell="A35" activePane="bottomLeft" state="frozenSplit"/>
      <selection activeCell="P23" sqref="P23 P23:Q23"/>
      <selection pane="bottomLeft" activeCell="N11" sqref="N11"/>
    </sheetView>
  </sheetViews>
  <sheetFormatPr defaultColWidth="9.1796875" defaultRowHeight="12.5" x14ac:dyDescent="0.25"/>
  <cols>
    <col min="1" max="1" width="9" style="84" customWidth="1"/>
    <col min="2" max="2" width="3.54296875" style="27" customWidth="1"/>
    <col min="3" max="3" width="101.54296875" style="27" customWidth="1"/>
    <col min="4" max="4" width="74.54296875" style="27" hidden="1" customWidth="1"/>
    <col min="5" max="5" width="3.1796875" style="27" hidden="1" customWidth="1"/>
    <col min="6" max="6" width="4.1796875" style="27" hidden="1" customWidth="1"/>
    <col min="7" max="7" width="2.81640625" style="27" hidden="1" customWidth="1"/>
    <col min="8" max="8" width="16.453125" style="27" customWidth="1"/>
    <col min="9" max="9" width="15.453125" style="27" bestFit="1" customWidth="1"/>
    <col min="10" max="10" width="17" style="27" hidden="1" customWidth="1"/>
    <col min="11" max="12" width="16.1796875" style="27" hidden="1" customWidth="1"/>
    <col min="13" max="13" width="6.1796875" style="27" hidden="1" customWidth="1"/>
    <col min="14" max="14" width="124.1796875" style="78" bestFit="1" customWidth="1"/>
    <col min="15" max="15" width="9.453125" style="78" hidden="1" customWidth="1"/>
    <col min="16" max="18" width="2.1796875" style="27" hidden="1" customWidth="1"/>
    <col min="19" max="19" width="14.54296875" style="27" hidden="1" customWidth="1"/>
    <col min="20" max="20" width="5.1796875" style="27" hidden="1" customWidth="1"/>
    <col min="21" max="21" width="15.453125" style="27" hidden="1" customWidth="1"/>
    <col min="22" max="22" width="8" style="27" hidden="1" customWidth="1"/>
    <col min="23" max="23" width="0" style="27" hidden="1" customWidth="1"/>
    <col min="24" max="24" width="9.1796875" style="27" customWidth="1"/>
    <col min="25" max="16384" width="9.1796875" style="27"/>
  </cols>
  <sheetData>
    <row r="1" spans="1:24" customFormat="1" ht="53.25" customHeight="1" thickBot="1" x14ac:dyDescent="0.4">
      <c r="A1" s="274" t="s">
        <v>597</v>
      </c>
      <c r="B1" s="275" t="s">
        <v>598</v>
      </c>
      <c r="C1" s="275"/>
      <c r="D1" s="275"/>
      <c r="E1" s="275"/>
      <c r="F1" s="275"/>
      <c r="G1" s="275"/>
      <c r="H1" s="276"/>
      <c r="I1" s="277" t="s">
        <v>599</v>
      </c>
      <c r="J1" s="278" t="s">
        <v>599</v>
      </c>
      <c r="K1" s="25"/>
      <c r="L1" s="60"/>
      <c r="M1" s="60"/>
      <c r="N1" s="25"/>
      <c r="O1" s="25"/>
      <c r="P1" s="25"/>
      <c r="Q1" s="25"/>
      <c r="R1" s="25"/>
      <c r="S1" s="279" t="str">
        <f>Title_Page!H38</f>
        <v>FAIL</v>
      </c>
      <c r="T1" s="25"/>
      <c r="U1" s="279" t="str">
        <f>Title_Page!H39</f>
        <v>PASS</v>
      </c>
      <c r="V1" s="25"/>
      <c r="W1" s="25"/>
      <c r="X1" s="25"/>
    </row>
    <row r="2" spans="1:24" customFormat="1" ht="42" customHeight="1" x14ac:dyDescent="0.35">
      <c r="A2" s="280"/>
      <c r="B2" s="281" t="str">
        <f>'Hide_me(drop_downs)'!I1</f>
        <v>Year ended 31 July 2025</v>
      </c>
      <c r="C2" s="281"/>
      <c r="D2" s="281"/>
      <c r="E2" s="281"/>
      <c r="F2" s="281"/>
      <c r="G2" s="281"/>
      <c r="H2" s="282"/>
      <c r="I2" s="283" t="s">
        <v>600</v>
      </c>
      <c r="J2" s="283" t="s">
        <v>601</v>
      </c>
      <c r="K2" s="25"/>
      <c r="L2" s="61"/>
      <c r="M2" s="61"/>
      <c r="N2" s="146" t="str">
        <f>'Hide_me(drop_downs)'!I5</f>
        <v>Variance (2024/25 v. 2023/24 restated)</v>
      </c>
      <c r="O2" s="62"/>
      <c r="P2" s="63" t="s">
        <v>602</v>
      </c>
      <c r="Q2" s="64"/>
      <c r="R2" s="64"/>
      <c r="S2" s="65"/>
      <c r="T2" s="25"/>
      <c r="U2" s="27" t="s">
        <v>603</v>
      </c>
      <c r="V2" s="25"/>
      <c r="W2" s="25"/>
      <c r="X2" s="25"/>
    </row>
    <row r="3" spans="1:24" customFormat="1" ht="42" customHeight="1" x14ac:dyDescent="0.35">
      <c r="A3" s="284"/>
      <c r="B3" s="285"/>
      <c r="C3" s="285"/>
      <c r="D3" s="285"/>
      <c r="E3" s="285"/>
      <c r="F3" s="285"/>
      <c r="G3" s="286"/>
      <c r="H3" s="287" t="str">
        <f>'Hide_me(drop_downs)'!I1</f>
        <v>Year ended 31 July 2025</v>
      </c>
      <c r="I3" s="288" t="str">
        <f>'Hide_me(drop_downs)'!J1</f>
        <v>Year ended 31 July 2024</v>
      </c>
      <c r="J3" s="288" t="str">
        <f>'Hide_me(drop_downs)'!J1</f>
        <v>Year ended 31 July 2024</v>
      </c>
      <c r="K3" s="61"/>
      <c r="L3" s="61"/>
      <c r="M3" s="61"/>
      <c r="N3" s="66" t="s">
        <v>604</v>
      </c>
      <c r="O3" s="66"/>
      <c r="P3" s="67"/>
      <c r="Q3" s="25"/>
      <c r="R3" s="25"/>
      <c r="S3" s="65"/>
      <c r="T3" s="25"/>
      <c r="U3" s="27" t="s">
        <v>605</v>
      </c>
      <c r="V3" s="289" t="s">
        <v>606</v>
      </c>
      <c r="W3" s="25"/>
      <c r="X3" s="25"/>
    </row>
    <row r="4" spans="1:24" customFormat="1" ht="15.5" customHeight="1" thickBot="1" x14ac:dyDescent="0.4">
      <c r="A4" s="290"/>
      <c r="B4" s="291"/>
      <c r="C4" s="291"/>
      <c r="D4" s="291"/>
      <c r="E4" s="291"/>
      <c r="F4" s="291"/>
      <c r="G4" s="292"/>
      <c r="H4" s="293" t="s">
        <v>607</v>
      </c>
      <c r="I4" s="293" t="s">
        <v>607</v>
      </c>
      <c r="J4" s="293" t="s">
        <v>607</v>
      </c>
      <c r="K4" s="60" t="s">
        <v>607</v>
      </c>
      <c r="L4" s="60" t="s">
        <v>608</v>
      </c>
      <c r="M4" s="60"/>
      <c r="N4" s="8" t="s">
        <v>609</v>
      </c>
      <c r="O4" s="8"/>
      <c r="P4" s="68" t="s">
        <v>610</v>
      </c>
      <c r="Q4" s="25"/>
      <c r="R4" s="25"/>
      <c r="S4" s="65"/>
      <c r="T4" s="25"/>
      <c r="U4" s="68" t="s">
        <v>230</v>
      </c>
      <c r="V4" s="25"/>
      <c r="W4" s="25"/>
      <c r="X4" s="25"/>
    </row>
    <row r="5" spans="1:24" customFormat="1" ht="15.75" customHeight="1" thickBot="1" x14ac:dyDescent="0.4">
      <c r="A5" s="294">
        <v>1</v>
      </c>
      <c r="B5" s="295" t="s">
        <v>611</v>
      </c>
      <c r="C5" s="296"/>
      <c r="D5" s="296"/>
      <c r="E5" s="296"/>
      <c r="F5" s="296"/>
      <c r="G5" s="297"/>
      <c r="H5" s="298"/>
      <c r="I5" s="299"/>
      <c r="J5" s="299"/>
      <c r="K5" s="69" t="s">
        <v>230</v>
      </c>
      <c r="L5" s="69" t="s">
        <v>230</v>
      </c>
      <c r="M5" s="69"/>
      <c r="N5" s="70" t="s">
        <v>612</v>
      </c>
      <c r="O5" s="70"/>
      <c r="P5" s="71"/>
      <c r="Q5" s="72"/>
      <c r="R5" s="72"/>
      <c r="S5" s="279" t="str">
        <f>IF(S1="FAIL","Head","")</f>
        <v>Head</v>
      </c>
      <c r="T5" s="25"/>
      <c r="U5" s="279" t="str">
        <f>IF(U1="FAIL","Head","")</f>
        <v/>
      </c>
      <c r="V5" s="25"/>
      <c r="W5" s="25"/>
      <c r="X5" s="25"/>
    </row>
    <row r="6" spans="1:24" customFormat="1" ht="12.75" customHeight="1" thickBot="1" x14ac:dyDescent="0.4">
      <c r="A6" s="294" t="s">
        <v>613</v>
      </c>
      <c r="B6" s="300"/>
      <c r="C6" s="301" t="s">
        <v>614</v>
      </c>
      <c r="D6" s="301"/>
      <c r="E6" s="302"/>
      <c r="F6" s="302"/>
      <c r="G6" s="303"/>
      <c r="H6" s="13">
        <f>Table_6_UK!H5</f>
        <v>556462</v>
      </c>
      <c r="I6" s="10">
        <v>527155</v>
      </c>
      <c r="J6" s="304">
        <v>527155</v>
      </c>
      <c r="K6" s="45">
        <f t="shared" ref="K6:K12" si="0">H6-I6</f>
        <v>29307</v>
      </c>
      <c r="L6" s="45">
        <f t="shared" ref="L6:L12" si="1">IF(AND(OR(H6=0,I6&lt;&gt;0),OR(I6=0,H6&lt;&gt;0)),IF((H6+I6+K6&lt;&gt;0),IF(AND(OR(H6&gt;0,I6&lt;0),OR(I6&gt;0,H6&lt;0)),ABS(K6/MIN(ABS(I6),ABS(H6))),10),"-"),10)</f>
        <v>5.5594654323680888E-2</v>
      </c>
      <c r="M6" s="45"/>
      <c r="N6" s="59"/>
      <c r="O6" s="52"/>
      <c r="P6" s="25"/>
      <c r="Q6" s="25"/>
      <c r="R6" s="25"/>
      <c r="S6" s="25"/>
      <c r="T6" s="25"/>
      <c r="U6" s="25"/>
      <c r="V6" s="25"/>
      <c r="W6" s="25"/>
      <c r="X6" s="25"/>
    </row>
    <row r="7" spans="1:24" customFormat="1" ht="12.75" customHeight="1" thickBot="1" x14ac:dyDescent="0.4">
      <c r="A7" s="294" t="s">
        <v>615</v>
      </c>
      <c r="B7" s="300"/>
      <c r="C7" s="5" t="s">
        <v>616</v>
      </c>
      <c r="D7" s="301"/>
      <c r="E7" s="302"/>
      <c r="F7" s="302"/>
      <c r="G7" s="303"/>
      <c r="H7" s="13">
        <f>Table_6_UK!H7</f>
        <v>206796</v>
      </c>
      <c r="I7" s="11">
        <v>208676</v>
      </c>
      <c r="J7" s="305">
        <v>208676</v>
      </c>
      <c r="K7" s="41">
        <f t="shared" si="0"/>
        <v>-1880</v>
      </c>
      <c r="L7" s="43">
        <f t="shared" si="1"/>
        <v>9.0910849339445633E-3</v>
      </c>
      <c r="M7" s="45"/>
      <c r="N7" s="73"/>
      <c r="O7" s="74"/>
      <c r="P7" s="27">
        <f>IF(AND(K7&gt;750,L7&gt;2),1,0)</f>
        <v>0</v>
      </c>
      <c r="Q7" s="27">
        <f>IF(AND(K7&lt;-750,L7&gt;2),1,0)</f>
        <v>0</v>
      </c>
      <c r="R7" s="27">
        <f>SUM(P7:Q7)</f>
        <v>0</v>
      </c>
      <c r="S7" s="75" t="str">
        <f>IF(R7&lt;&gt;0,A7&amp;" ("&amp;H7&amp;", "&amp;I7&amp;")"&amp;", ","")</f>
        <v/>
      </c>
      <c r="T7" s="25"/>
      <c r="U7" s="75" t="str">
        <f>IF(I7&lt;&gt;J7,A7&amp;" ("&amp;I7&amp;", "&amp;J7&amp;")"&amp;", ","")</f>
        <v/>
      </c>
      <c r="V7" s="25"/>
      <c r="W7" s="25"/>
      <c r="X7" s="25"/>
    </row>
    <row r="8" spans="1:24" customFormat="1" ht="12.75" customHeight="1" thickBot="1" x14ac:dyDescent="0.4">
      <c r="A8" s="294" t="s">
        <v>617</v>
      </c>
      <c r="B8" s="300"/>
      <c r="C8" s="5" t="s">
        <v>618</v>
      </c>
      <c r="D8" s="301"/>
      <c r="E8" s="302"/>
      <c r="F8" s="302"/>
      <c r="G8" s="303"/>
      <c r="H8" s="13">
        <f>Table_6_UK!H37</f>
        <v>375372</v>
      </c>
      <c r="I8" s="11">
        <v>365199</v>
      </c>
      <c r="J8" s="306">
        <v>365199</v>
      </c>
      <c r="K8" s="45">
        <f t="shared" si="0"/>
        <v>10173</v>
      </c>
      <c r="L8" s="45">
        <f t="shared" si="1"/>
        <v>2.7856045608010974E-2</v>
      </c>
      <c r="M8" s="45"/>
      <c r="N8" s="76"/>
      <c r="O8" s="52"/>
      <c r="P8" s="25"/>
      <c r="Q8" s="25"/>
      <c r="R8" s="25"/>
      <c r="S8" s="25"/>
      <c r="T8" s="25"/>
      <c r="U8" s="25"/>
      <c r="V8" s="25"/>
      <c r="W8" s="25"/>
      <c r="X8" s="25"/>
    </row>
    <row r="9" spans="1:24" customFormat="1" ht="12.75" customHeight="1" thickBot="1" x14ac:dyDescent="0.4">
      <c r="A9" s="294" t="s">
        <v>619</v>
      </c>
      <c r="B9" s="300"/>
      <c r="C9" s="5" t="s">
        <v>620</v>
      </c>
      <c r="D9" s="301"/>
      <c r="E9" s="302"/>
      <c r="F9" s="302"/>
      <c r="G9" s="303"/>
      <c r="H9" s="13">
        <f>Table_6_UK!H55</f>
        <v>261183</v>
      </c>
      <c r="I9" s="11">
        <v>238304</v>
      </c>
      <c r="J9" s="305">
        <v>238304</v>
      </c>
      <c r="K9" s="41">
        <f t="shared" si="0"/>
        <v>22879</v>
      </c>
      <c r="L9" s="43">
        <f t="shared" si="1"/>
        <v>9.6007620518329534E-2</v>
      </c>
      <c r="M9" s="45"/>
      <c r="N9" s="73"/>
      <c r="O9" s="74"/>
      <c r="P9" s="27">
        <f>IF(AND(K9&gt;750,L9&gt;2),1,0)</f>
        <v>0</v>
      </c>
      <c r="Q9" s="27">
        <f>IF(AND(K9&lt;-750,L9&gt;2),1,0)</f>
        <v>0</v>
      </c>
      <c r="R9" s="27">
        <f>SUM(P9:Q9)</f>
        <v>0</v>
      </c>
      <c r="S9" s="75" t="str">
        <f>IF(R9&lt;&gt;0,A9&amp;" ("&amp;H9&amp;", "&amp;I9&amp;")"&amp;", ","")</f>
        <v/>
      </c>
      <c r="T9" s="25"/>
      <c r="U9" s="75" t="str">
        <f>IF(I9&lt;&gt;J9,A9&amp;" ("&amp;I9&amp;", "&amp;J9&amp;")"&amp;", ","")</f>
        <v/>
      </c>
      <c r="V9" s="25"/>
      <c r="W9" s="25"/>
      <c r="X9" s="25"/>
    </row>
    <row r="10" spans="1:24" customFormat="1" ht="12.75" customHeight="1" thickBot="1" x14ac:dyDescent="0.4">
      <c r="A10" s="294" t="s">
        <v>621</v>
      </c>
      <c r="B10" s="300"/>
      <c r="C10" s="5" t="s">
        <v>622</v>
      </c>
      <c r="D10" s="301"/>
      <c r="E10" s="302"/>
      <c r="F10" s="302"/>
      <c r="G10" s="303"/>
      <c r="H10" s="13">
        <f>Table_6_UK!H57</f>
        <v>54233</v>
      </c>
      <c r="I10" s="11">
        <v>64425</v>
      </c>
      <c r="J10" s="305">
        <v>64425</v>
      </c>
      <c r="K10" s="41">
        <f t="shared" si="0"/>
        <v>-10192</v>
      </c>
      <c r="L10" s="43">
        <f t="shared" si="1"/>
        <v>0.1879298582044143</v>
      </c>
      <c r="M10" s="45"/>
      <c r="N10" s="73"/>
      <c r="O10" s="74"/>
      <c r="P10" s="27">
        <f>IF(AND(K10&gt;750,L10&gt;2),1,0)</f>
        <v>0</v>
      </c>
      <c r="Q10" s="27">
        <f>IF(AND(K10&lt;-750,L10&gt;2),1,0)</f>
        <v>0</v>
      </c>
      <c r="R10" s="27">
        <f>SUM(P10:Q10)</f>
        <v>0</v>
      </c>
      <c r="S10" s="75" t="str">
        <f>IF(R10&lt;&gt;0,A10&amp;" ("&amp;H10&amp;", "&amp;I10&amp;")"&amp;", ","")</f>
        <v/>
      </c>
      <c r="T10" s="25"/>
      <c r="U10" s="75" t="str">
        <f>IF(I10&lt;&gt;J10,A10&amp;" ("&amp;I10&amp;", "&amp;J10&amp;")"&amp;", ","")</f>
        <v/>
      </c>
      <c r="V10" s="25"/>
      <c r="W10" s="25"/>
      <c r="X10" s="25"/>
    </row>
    <row r="11" spans="1:24" customFormat="1" ht="12.75" customHeight="1" thickBot="1" x14ac:dyDescent="0.4">
      <c r="A11" s="294" t="s">
        <v>623</v>
      </c>
      <c r="B11" s="300"/>
      <c r="C11" s="7" t="s">
        <v>624</v>
      </c>
      <c r="D11" s="302"/>
      <c r="E11" s="302"/>
      <c r="F11" s="302"/>
      <c r="G11" s="303"/>
      <c r="H11" s="13">
        <f>Table_6_UK!H65</f>
        <v>22322</v>
      </c>
      <c r="I11" s="11">
        <v>30072</v>
      </c>
      <c r="J11" s="305">
        <v>30072</v>
      </c>
      <c r="K11" s="41">
        <f t="shared" si="0"/>
        <v>-7750</v>
      </c>
      <c r="L11" s="43">
        <f t="shared" si="1"/>
        <v>0.34719111190753515</v>
      </c>
      <c r="M11" s="45"/>
      <c r="N11" s="73"/>
      <c r="O11" s="74"/>
      <c r="P11" s="27">
        <f>IF(AND(K11&gt;750,L11&gt;2),1,0)</f>
        <v>0</v>
      </c>
      <c r="Q11" s="27">
        <f>IF(AND(K11&lt;-750,L11&gt;2),1,0)</f>
        <v>0</v>
      </c>
      <c r="R11" s="27">
        <f>SUM(P11:Q11)</f>
        <v>0</v>
      </c>
      <c r="S11" s="31" t="str">
        <f>IF(R11&lt;&gt;0,A11&amp;" ("&amp;H11&amp;", "&amp;I11&amp;")"&amp;", ","")</f>
        <v/>
      </c>
      <c r="T11" s="25"/>
      <c r="U11" s="75" t="str">
        <f>IF(I11&lt;&gt;J11,A11&amp;" ("&amp;I11&amp;", "&amp;J11&amp;")"&amp;", ","")</f>
        <v/>
      </c>
      <c r="V11" s="25"/>
      <c r="W11" s="25"/>
      <c r="X11" s="25"/>
    </row>
    <row r="12" spans="1:24" customFormat="1" ht="12.75" customHeight="1" x14ac:dyDescent="0.35">
      <c r="A12" s="294" t="s">
        <v>625</v>
      </c>
      <c r="B12" s="307" t="s">
        <v>626</v>
      </c>
      <c r="C12" s="308"/>
      <c r="D12" s="308"/>
      <c r="E12" s="308"/>
      <c r="F12" s="308"/>
      <c r="G12" s="309"/>
      <c r="H12" s="310">
        <f>SUM(H6:H11)</f>
        <v>1476368</v>
      </c>
      <c r="I12" s="310">
        <f>SUM(I6:I11)</f>
        <v>1433831</v>
      </c>
      <c r="J12" s="310">
        <f>SUM(J6:J11)</f>
        <v>1433831</v>
      </c>
      <c r="K12" s="45">
        <f t="shared" si="0"/>
        <v>42537</v>
      </c>
      <c r="L12" s="45">
        <f t="shared" si="1"/>
        <v>2.9666676198240937E-2</v>
      </c>
      <c r="M12" s="45"/>
      <c r="N12" s="77"/>
      <c r="O12" s="52"/>
      <c r="P12" s="25"/>
      <c r="Q12" s="25"/>
      <c r="R12" s="25"/>
      <c r="S12" s="25"/>
      <c r="T12" s="25"/>
      <c r="U12" s="25"/>
      <c r="V12" s="25"/>
      <c r="W12" s="25"/>
      <c r="X12" s="25"/>
    </row>
    <row r="13" spans="1:24" customFormat="1" ht="12.75" customHeight="1" x14ac:dyDescent="0.35">
      <c r="A13" s="294"/>
      <c r="B13" s="311"/>
      <c r="C13" s="312"/>
      <c r="D13" s="312"/>
      <c r="E13" s="312"/>
      <c r="F13" s="312"/>
      <c r="G13" s="313"/>
      <c r="H13" s="314"/>
      <c r="I13" s="314"/>
      <c r="J13" s="314"/>
      <c r="K13" s="25"/>
      <c r="L13" s="25"/>
      <c r="M13" s="25"/>
      <c r="N13" s="78"/>
      <c r="O13" s="78"/>
      <c r="P13" s="25"/>
      <c r="Q13" s="25"/>
      <c r="R13" s="25"/>
      <c r="S13" s="25"/>
      <c r="T13" s="25"/>
      <c r="U13" s="25"/>
      <c r="V13" s="25"/>
      <c r="W13" s="25"/>
      <c r="X13" s="25"/>
    </row>
    <row r="14" spans="1:24" customFormat="1" ht="12.75" customHeight="1" x14ac:dyDescent="0.35">
      <c r="A14" s="294">
        <v>2</v>
      </c>
      <c r="B14" s="295" t="s">
        <v>627</v>
      </c>
      <c r="C14" s="296"/>
      <c r="D14" s="296"/>
      <c r="E14" s="296"/>
      <c r="F14" s="296"/>
      <c r="G14" s="297"/>
      <c r="H14" s="315"/>
      <c r="I14" s="315"/>
      <c r="J14" s="315"/>
      <c r="K14" s="25"/>
      <c r="L14" s="25"/>
      <c r="M14" s="25"/>
      <c r="N14" s="78"/>
      <c r="O14" s="78"/>
      <c r="P14" s="25"/>
      <c r="Q14" s="25"/>
      <c r="R14" s="25"/>
      <c r="S14" s="25"/>
      <c r="T14" s="25"/>
      <c r="U14" s="25"/>
      <c r="V14" s="25"/>
      <c r="W14" s="25"/>
      <c r="X14" s="25"/>
    </row>
    <row r="15" spans="1:24" customFormat="1" ht="12.75" customHeight="1" thickBot="1" x14ac:dyDescent="0.4">
      <c r="A15" s="294" t="s">
        <v>628</v>
      </c>
      <c r="B15" s="300"/>
      <c r="C15" s="312" t="s">
        <v>629</v>
      </c>
      <c r="D15" s="302"/>
      <c r="E15" s="302"/>
      <c r="F15" s="302"/>
      <c r="G15" s="303"/>
      <c r="H15" s="13">
        <f>Table_7_UK!J106</f>
        <v>829295</v>
      </c>
      <c r="I15" s="11">
        <v>403468</v>
      </c>
      <c r="J15" s="306">
        <v>403468</v>
      </c>
      <c r="K15" s="45">
        <f t="shared" ref="K15:K20" si="2">H15-I15</f>
        <v>425827</v>
      </c>
      <c r="L15" s="45">
        <f t="shared" ref="L15:L20" si="3">IF(AND(OR(H15=0,I15&lt;&gt;0),OR(I15=0,H15&lt;&gt;0)),IF((H15+I15+K15&lt;&gt;0),IF(AND(OR(H15&gt;0,I15&lt;0),OR(I15&gt;0,H15&lt;0)),ABS(K15/MIN(ABS(I15),ABS(H15))),10),"-"),10)</f>
        <v>1.0554170343125104</v>
      </c>
      <c r="M15" s="45"/>
      <c r="N15" s="59"/>
      <c r="O15" s="52"/>
      <c r="P15" s="25"/>
      <c r="Q15" s="25"/>
      <c r="R15" s="25"/>
      <c r="S15" s="25"/>
      <c r="T15" s="25"/>
      <c r="U15" s="25"/>
      <c r="V15" s="25"/>
      <c r="W15" s="25"/>
      <c r="X15" s="25"/>
    </row>
    <row r="16" spans="1:24" customFormat="1" ht="12.75" customHeight="1" thickBot="1" x14ac:dyDescent="0.4">
      <c r="A16" s="294" t="s">
        <v>630</v>
      </c>
      <c r="B16" s="300"/>
      <c r="C16" s="312" t="s">
        <v>631</v>
      </c>
      <c r="D16" s="302"/>
      <c r="E16" s="302"/>
      <c r="F16" s="302"/>
      <c r="G16" s="303"/>
      <c r="H16" s="13">
        <f>Table_7_UK!K106</f>
        <v>0</v>
      </c>
      <c r="I16" s="11">
        <v>0</v>
      </c>
      <c r="J16" s="305">
        <v>0</v>
      </c>
      <c r="K16" s="41">
        <f t="shared" si="2"/>
        <v>0</v>
      </c>
      <c r="L16" s="43" t="str">
        <f t="shared" si="3"/>
        <v>-</v>
      </c>
      <c r="M16" s="45"/>
      <c r="N16" s="73"/>
      <c r="O16" s="74"/>
      <c r="P16" s="27">
        <f>IF(AND(K16&gt;750,L16&gt;2),1,0)</f>
        <v>0</v>
      </c>
      <c r="Q16" s="27">
        <f>IF(AND(K16&lt;-750,L16&gt;2),1,0)</f>
        <v>0</v>
      </c>
      <c r="R16" s="27">
        <f>SUM(P16:Q16)</f>
        <v>0</v>
      </c>
      <c r="S16" s="75" t="str">
        <f>IF(R16&lt;&gt;0,A16&amp;" ("&amp;H16&amp;", "&amp;I16&amp;")"&amp;", ","")</f>
        <v/>
      </c>
      <c r="T16" s="25"/>
      <c r="U16" s="75" t="str">
        <f>IF(I16&lt;&gt;J16,A16&amp;" ("&amp;I16&amp;", "&amp;J16&amp;")"&amp;", ","")</f>
        <v/>
      </c>
      <c r="V16" s="25"/>
      <c r="W16" s="25"/>
      <c r="X16" s="25"/>
    </row>
    <row r="17" spans="1:24" customFormat="1" ht="12.75" customHeight="1" thickBot="1" x14ac:dyDescent="0.4">
      <c r="A17" s="294" t="s">
        <v>632</v>
      </c>
      <c r="B17" s="79"/>
      <c r="C17" s="313" t="s">
        <v>633</v>
      </c>
      <c r="D17" s="302"/>
      <c r="E17" s="302"/>
      <c r="F17" s="302"/>
      <c r="G17" s="303"/>
      <c r="H17" s="13">
        <f>Table_7_UK!L106</f>
        <v>505610</v>
      </c>
      <c r="I17" s="11">
        <v>540101</v>
      </c>
      <c r="J17" s="306">
        <v>540101</v>
      </c>
      <c r="K17" s="45">
        <f t="shared" si="2"/>
        <v>-34491</v>
      </c>
      <c r="L17" s="45">
        <f t="shared" si="3"/>
        <v>6.8216609639840983E-2</v>
      </c>
      <c r="M17" s="45"/>
      <c r="N17" s="76"/>
      <c r="O17" s="52"/>
      <c r="P17" s="25"/>
      <c r="Q17" s="25"/>
      <c r="R17" s="25"/>
      <c r="S17" s="25"/>
      <c r="T17" s="25"/>
      <c r="U17" s="25"/>
      <c r="V17" s="25"/>
      <c r="W17" s="25"/>
      <c r="X17" s="25"/>
    </row>
    <row r="18" spans="1:24" customFormat="1" ht="12.75" customHeight="1" thickBot="1" x14ac:dyDescent="0.4">
      <c r="A18" s="294" t="s">
        <v>634</v>
      </c>
      <c r="B18" s="300"/>
      <c r="C18" s="313" t="s">
        <v>635</v>
      </c>
      <c r="D18" s="302"/>
      <c r="E18" s="302"/>
      <c r="F18" s="302"/>
      <c r="G18" s="303"/>
      <c r="H18" s="13">
        <f>Table_7_UK!M106</f>
        <v>107477</v>
      </c>
      <c r="I18" s="11">
        <v>91030</v>
      </c>
      <c r="J18" s="305">
        <v>91030</v>
      </c>
      <c r="K18" s="41">
        <f t="shared" si="2"/>
        <v>16447</v>
      </c>
      <c r="L18" s="43">
        <f t="shared" si="3"/>
        <v>0.18067669998901462</v>
      </c>
      <c r="M18" s="45"/>
      <c r="N18" s="73"/>
      <c r="O18" s="74"/>
      <c r="P18" s="27">
        <f>IF(AND(K18&gt;750,L18&gt;2),1,0)</f>
        <v>0</v>
      </c>
      <c r="Q18" s="27">
        <f>IF(AND(K18&lt;-750,L18&gt;2),1,0)</f>
        <v>0</v>
      </c>
      <c r="R18" s="27">
        <f>SUM(P18:Q18)</f>
        <v>0</v>
      </c>
      <c r="S18" s="75" t="str">
        <f>IF(R18&lt;&gt;0,A18&amp;" ("&amp;H18&amp;", "&amp;I18&amp;")"&amp;", ","")</f>
        <v/>
      </c>
      <c r="T18" s="25"/>
      <c r="U18" s="75" t="str">
        <f>IF(I18&lt;&gt;J18,A18&amp;" ("&amp;I18&amp;", "&amp;J18&amp;")"&amp;", ","")</f>
        <v/>
      </c>
      <c r="V18" s="25"/>
      <c r="W18" s="25"/>
      <c r="X18" s="25"/>
    </row>
    <row r="19" spans="1:24" customFormat="1" ht="12.75" customHeight="1" thickBot="1" x14ac:dyDescent="0.4">
      <c r="A19" s="294" t="s">
        <v>636</v>
      </c>
      <c r="B19" s="79"/>
      <c r="C19" s="313" t="s">
        <v>637</v>
      </c>
      <c r="D19" s="302"/>
      <c r="E19" s="302"/>
      <c r="F19" s="302"/>
      <c r="G19" s="303"/>
      <c r="H19" s="13">
        <f>Table_7_UK!N106</f>
        <v>13974</v>
      </c>
      <c r="I19" s="11">
        <v>21602</v>
      </c>
      <c r="J19" s="305">
        <v>21602</v>
      </c>
      <c r="K19" s="41">
        <f t="shared" si="2"/>
        <v>-7628</v>
      </c>
      <c r="L19" s="43">
        <f t="shared" si="3"/>
        <v>0.5458709031057678</v>
      </c>
      <c r="M19" s="45"/>
      <c r="N19" s="73"/>
      <c r="O19" s="74"/>
      <c r="P19" s="27">
        <f>IF(AND(K19&gt;750,L19&gt;2),1,0)</f>
        <v>0</v>
      </c>
      <c r="Q19" s="27">
        <f>IF(AND(K19&lt;-750,L19&gt;2),1,0)</f>
        <v>0</v>
      </c>
      <c r="R19" s="27">
        <f>SUM(P19:Q19)</f>
        <v>0</v>
      </c>
      <c r="S19" s="31" t="str">
        <f>IF(R19&lt;&gt;0,A19&amp;" ("&amp;H19&amp;", "&amp;I19&amp;")"&amp;", ","")</f>
        <v/>
      </c>
      <c r="T19" s="25"/>
      <c r="U19" s="75" t="str">
        <f>IF(I19&lt;&gt;J19,A19&amp;" ("&amp;I19&amp;", "&amp;J19&amp;")"&amp;", ","")</f>
        <v/>
      </c>
      <c r="V19" s="25"/>
      <c r="W19" s="25"/>
      <c r="X19" s="25"/>
    </row>
    <row r="20" spans="1:24" customFormat="1" ht="12.75" customHeight="1" x14ac:dyDescent="0.35">
      <c r="A20" s="294" t="s">
        <v>638</v>
      </c>
      <c r="B20" s="307" t="s">
        <v>639</v>
      </c>
      <c r="C20" s="308"/>
      <c r="D20" s="308"/>
      <c r="E20" s="308"/>
      <c r="F20" s="308"/>
      <c r="G20" s="309"/>
      <c r="H20" s="310">
        <f>SUM(H15:H19)</f>
        <v>1456356</v>
      </c>
      <c r="I20" s="310">
        <f>SUM(I15:I19)</f>
        <v>1056201</v>
      </c>
      <c r="J20" s="310">
        <f>SUM(J15:J19)</f>
        <v>1056201</v>
      </c>
      <c r="K20" s="45">
        <f t="shared" si="2"/>
        <v>400155</v>
      </c>
      <c r="L20" s="45">
        <f t="shared" si="3"/>
        <v>0.37886254604947356</v>
      </c>
      <c r="M20" s="45"/>
      <c r="N20" s="77"/>
      <c r="O20" s="52"/>
      <c r="P20" s="25"/>
      <c r="Q20" s="25"/>
      <c r="R20" s="25"/>
      <c r="S20" s="25"/>
      <c r="T20" s="25"/>
      <c r="U20" s="25"/>
      <c r="V20" s="25"/>
      <c r="W20" s="25"/>
      <c r="X20" s="25"/>
    </row>
    <row r="21" spans="1:24" customFormat="1" ht="12.75" customHeight="1" x14ac:dyDescent="0.35">
      <c r="A21" s="294"/>
      <c r="B21" s="80"/>
      <c r="C21" s="302"/>
      <c r="D21" s="302"/>
      <c r="E21" s="302"/>
      <c r="F21" s="302"/>
      <c r="G21" s="303"/>
      <c r="H21" s="81"/>
      <c r="I21" s="81"/>
      <c r="J21" s="81"/>
      <c r="K21" s="25"/>
      <c r="L21" s="25"/>
      <c r="M21" s="25"/>
      <c r="N21" s="78"/>
      <c r="O21" s="78"/>
      <c r="P21" s="25"/>
      <c r="Q21" s="25"/>
      <c r="R21" s="25"/>
      <c r="S21" s="25"/>
      <c r="T21" s="25"/>
      <c r="U21" s="25"/>
      <c r="V21" s="25"/>
      <c r="W21" s="25"/>
      <c r="X21" s="25"/>
    </row>
    <row r="22" spans="1:24" customFormat="1" ht="13" customHeight="1" x14ac:dyDescent="0.35">
      <c r="A22" s="294">
        <v>3</v>
      </c>
      <c r="B22" s="316" t="s">
        <v>640</v>
      </c>
      <c r="C22" s="317"/>
      <c r="D22" s="317"/>
      <c r="E22" s="317"/>
      <c r="F22" s="317"/>
      <c r="G22" s="318"/>
      <c r="H22" s="310">
        <f>H12-H20</f>
        <v>20012</v>
      </c>
      <c r="I22" s="310">
        <f>I12-I20</f>
        <v>377630</v>
      </c>
      <c r="J22" s="310">
        <f>J12-J20</f>
        <v>377630</v>
      </c>
      <c r="K22" s="45">
        <f>H22-I22</f>
        <v>-357618</v>
      </c>
      <c r="L22" s="45">
        <f>IF(AND(OR(H22=0,I22&lt;&gt;0),OR(I22=0,H22&lt;&gt;0)),IF((H22+I22+K22&lt;&gt;0),IF(AND(OR(H22&gt;0,I22&lt;0),OR(I22&gt;0,H22&lt;0)),ABS(K22/MIN(ABS(I22),ABS(H22))),10),"-"),10)</f>
        <v>17.870177893264042</v>
      </c>
      <c r="M22" s="45"/>
      <c r="N22" s="52"/>
      <c r="O22" s="52"/>
      <c r="P22" s="25"/>
      <c r="Q22" s="25"/>
      <c r="R22" s="25"/>
      <c r="S22" s="25"/>
      <c r="T22" s="25"/>
      <c r="U22" s="25"/>
      <c r="V22" s="25"/>
      <c r="W22" s="25"/>
      <c r="X22" s="25"/>
    </row>
    <row r="23" spans="1:24" customFormat="1" ht="12.75" customHeight="1" thickBot="1" x14ac:dyDescent="0.4">
      <c r="A23" s="294"/>
      <c r="B23" s="311"/>
      <c r="C23" s="312"/>
      <c r="D23" s="312"/>
      <c r="E23" s="312"/>
      <c r="F23" s="312"/>
      <c r="G23" s="313"/>
      <c r="H23" s="314"/>
      <c r="I23" s="314"/>
      <c r="J23" s="314"/>
      <c r="K23" s="25"/>
      <c r="L23" s="25"/>
      <c r="M23" s="25"/>
      <c r="N23" s="59"/>
      <c r="O23" s="52"/>
      <c r="P23" s="25"/>
      <c r="Q23" s="25"/>
      <c r="R23" s="25"/>
      <c r="S23" s="25"/>
      <c r="T23" s="25"/>
      <c r="U23" s="25"/>
      <c r="V23" s="25"/>
      <c r="W23" s="25"/>
      <c r="X23" s="25"/>
    </row>
    <row r="24" spans="1:24" customFormat="1" ht="12.75" customHeight="1" thickBot="1" x14ac:dyDescent="0.4">
      <c r="A24" s="294">
        <v>4</v>
      </c>
      <c r="B24" s="319" t="s">
        <v>641</v>
      </c>
      <c r="C24" s="320"/>
      <c r="D24" s="320"/>
      <c r="E24" s="320"/>
      <c r="F24" s="320"/>
      <c r="G24" s="321"/>
      <c r="H24" s="306">
        <v>-2644</v>
      </c>
      <c r="I24" s="306">
        <v>-26</v>
      </c>
      <c r="J24" s="305">
        <v>-26</v>
      </c>
      <c r="K24" s="41">
        <f>H24-I24</f>
        <v>-2618</v>
      </c>
      <c r="L24" s="43">
        <f>IF(AND(OR(H24=0,I24&lt;&gt;0),OR(I24=0,H24&lt;&gt;0)),IF((H24+I24+K24&lt;&gt;0),IF(AND(OR(H24&gt;0,I24&lt;0),OR(I24&gt;0,H24&lt;0)),ABS(K24/MIN(ABS(I24),ABS(H24))),10),"-"),10)</f>
        <v>100.69230769230769</v>
      </c>
      <c r="M24" s="45"/>
      <c r="N24" s="73" t="s">
        <v>108</v>
      </c>
      <c r="O24" s="74"/>
      <c r="P24" s="27">
        <f>IF(AND(K24&gt;750,L24&gt;2),1,0)</f>
        <v>0</v>
      </c>
      <c r="Q24" s="27">
        <f>IF(AND(K24&lt;-750,L24&gt;2),1,0)</f>
        <v>1</v>
      </c>
      <c r="R24" s="27">
        <f>SUM(P24:Q24)</f>
        <v>1</v>
      </c>
      <c r="S24" s="75" t="str">
        <f>IF(R24&lt;&gt;0,A24&amp;" ("&amp;H24&amp;", "&amp;I24&amp;")"&amp;", ","")</f>
        <v xml:space="preserve">4 (-2644, -26), </v>
      </c>
      <c r="T24" s="25"/>
      <c r="U24" s="75" t="str">
        <f>IF(I24&lt;&gt;J24,A24&amp;" ("&amp;I24&amp;", "&amp;J24&amp;")"&amp;", ","")</f>
        <v/>
      </c>
      <c r="V24" s="25"/>
      <c r="W24" s="25"/>
      <c r="X24" s="25"/>
    </row>
    <row r="25" spans="1:24" customFormat="1" ht="12.75" customHeight="1" thickBot="1" x14ac:dyDescent="0.4">
      <c r="A25" s="294">
        <v>5</v>
      </c>
      <c r="B25" s="319" t="s">
        <v>642</v>
      </c>
      <c r="C25" s="320"/>
      <c r="D25" s="320"/>
      <c r="E25" s="320"/>
      <c r="F25" s="320"/>
      <c r="G25" s="321"/>
      <c r="H25" s="306">
        <v>0</v>
      </c>
      <c r="I25" s="306">
        <v>0</v>
      </c>
      <c r="J25" s="322">
        <v>0</v>
      </c>
      <c r="K25" s="45">
        <f>H25-I25</f>
        <v>0</v>
      </c>
      <c r="L25" s="45" t="str">
        <f>IF(AND(OR(H25=0,I25&lt;&gt;0),OR(I25=0,H25&lt;&gt;0)),IF((H25+I25+K25&lt;&gt;0),IF(AND(OR(H25&gt;0,I25&lt;0),OR(I25&gt;0,H25&lt;0)),ABS(K25/MIN(ABS(I25),ABS(H25))),10),"-"),10)</f>
        <v>-</v>
      </c>
      <c r="M25" s="45"/>
      <c r="N25" s="52"/>
      <c r="O25" s="52"/>
      <c r="P25" s="25"/>
      <c r="Q25" s="25"/>
      <c r="R25" s="25"/>
      <c r="S25" s="25"/>
      <c r="T25" s="25"/>
      <c r="U25" s="25"/>
      <c r="V25" s="25"/>
      <c r="W25" s="25"/>
      <c r="X25" s="25"/>
    </row>
    <row r="26" spans="1:24" customFormat="1" ht="12.75" customHeight="1" thickBot="1" x14ac:dyDescent="0.4">
      <c r="A26" s="294">
        <v>6</v>
      </c>
      <c r="B26" s="319" t="s">
        <v>643</v>
      </c>
      <c r="C26" s="320"/>
      <c r="D26" s="320"/>
      <c r="E26" s="320"/>
      <c r="F26" s="320"/>
      <c r="G26" s="321"/>
      <c r="H26" s="306">
        <v>27969</v>
      </c>
      <c r="I26" s="306">
        <v>29036</v>
      </c>
      <c r="J26" s="305">
        <v>29036</v>
      </c>
      <c r="K26" s="41">
        <f>H26-I26</f>
        <v>-1067</v>
      </c>
      <c r="L26" s="43">
        <f>IF(AND(OR(H26=0,I26&lt;&gt;0),OR(I26=0,H26&lt;&gt;0)),IF((H26+I26+K26&lt;&gt;0),IF(AND(OR(H26&gt;0,I26&lt;0),OR(I26&gt;0,H26&lt;0)),ABS(K26/MIN(ABS(I26),ABS(H26))),10),"-"),10)</f>
        <v>3.8149379670349315E-2</v>
      </c>
      <c r="M26" s="45"/>
      <c r="N26" s="73"/>
      <c r="O26" s="74"/>
      <c r="P26" s="27">
        <f>IF(AND(K26&gt;750,L26&gt;2),1,0)</f>
        <v>0</v>
      </c>
      <c r="Q26" s="27">
        <f>IF(AND(K26&lt;-750,L26&gt;2),1,0)</f>
        <v>0</v>
      </c>
      <c r="R26" s="27">
        <f>SUM(P26:Q26)</f>
        <v>0</v>
      </c>
      <c r="S26" s="75" t="str">
        <f>IF(R26&lt;&gt;0,A26&amp;" ("&amp;H26&amp;", "&amp;I26&amp;")"&amp;", ","")</f>
        <v/>
      </c>
      <c r="T26" s="25"/>
      <c r="U26" s="75" t="str">
        <f>IF(I26&lt;&gt;J26,A26&amp;" ("&amp;I26&amp;", "&amp;J26&amp;")"&amp;", ","")</f>
        <v/>
      </c>
      <c r="V26" s="25"/>
      <c r="W26" s="25"/>
      <c r="X26" s="25"/>
    </row>
    <row r="27" spans="1:24" customFormat="1" ht="12.75" customHeight="1" thickBot="1" x14ac:dyDescent="0.4">
      <c r="A27" s="294">
        <v>7</v>
      </c>
      <c r="B27" s="311" t="s">
        <v>644</v>
      </c>
      <c r="C27" s="312"/>
      <c r="D27" s="312"/>
      <c r="E27" s="312"/>
      <c r="F27" s="312"/>
      <c r="G27" s="313"/>
      <c r="H27" s="306">
        <v>0</v>
      </c>
      <c r="I27" s="306">
        <v>0</v>
      </c>
      <c r="J27" s="305">
        <v>0</v>
      </c>
      <c r="K27" s="41">
        <f>H27-I27</f>
        <v>0</v>
      </c>
      <c r="L27" s="43" t="str">
        <f>IF(AND(OR(H27=0,I27&lt;&gt;0),OR(I27=0,H27&lt;&gt;0)),IF((H27+I27+K27&lt;&gt;0),IF(AND(OR(H27&gt;0,I27&lt;0),OR(I27&gt;0,H27&lt;0)),ABS(K27/MIN(ABS(I27),ABS(H27))),10),"-"),10)</f>
        <v>-</v>
      </c>
      <c r="M27" s="45"/>
      <c r="N27" s="73"/>
      <c r="O27" s="74"/>
      <c r="P27" s="27">
        <f>IF(AND(K27&gt;750,L27&gt;2),1,0)</f>
        <v>0</v>
      </c>
      <c r="Q27" s="27">
        <f>IF(AND(K27&lt;-750,L27&gt;2),1,0)</f>
        <v>0</v>
      </c>
      <c r="R27" s="27">
        <f>SUM(P27:Q27)</f>
        <v>0</v>
      </c>
      <c r="S27" s="75" t="str">
        <f>IF(R27&lt;&gt;0,A27&amp;" ("&amp;H27&amp;", "&amp;I27&amp;")"&amp;", ","")</f>
        <v/>
      </c>
      <c r="T27" s="25"/>
      <c r="U27" s="75" t="str">
        <f>IF(I27&lt;&gt;J27,A27&amp;" ("&amp;I27&amp;", "&amp;J27&amp;")"&amp;", ","")</f>
        <v/>
      </c>
      <c r="V27" s="25"/>
      <c r="W27" s="25"/>
      <c r="X27" s="25"/>
    </row>
    <row r="28" spans="1:24" customFormat="1" ht="12.75" customHeight="1" thickBot="1" x14ac:dyDescent="0.4">
      <c r="A28" s="294">
        <v>8</v>
      </c>
      <c r="B28" s="311" t="s">
        <v>645</v>
      </c>
      <c r="C28" s="312"/>
      <c r="D28" s="312"/>
      <c r="E28" s="312"/>
      <c r="F28" s="312"/>
      <c r="G28" s="313"/>
      <c r="H28" s="306">
        <v>0</v>
      </c>
      <c r="I28" s="306">
        <v>0</v>
      </c>
      <c r="J28" s="305">
        <v>0</v>
      </c>
      <c r="K28" s="41">
        <f>H28-I28</f>
        <v>0</v>
      </c>
      <c r="L28" s="43" t="str">
        <f>IF(AND(OR(H28=0,I28&lt;&gt;0),OR(I28=0,H28&lt;&gt;0)),IF((H28+I28+K28&lt;&gt;0),IF(AND(OR(H28&gt;0,I28&lt;0),OR(I28&gt;0,H28&lt;0)),ABS(K28/MIN(ABS(I28),ABS(H28))),10),"-"),10)</f>
        <v>-</v>
      </c>
      <c r="M28" s="45"/>
      <c r="N28" s="73"/>
      <c r="O28" s="74"/>
      <c r="P28" s="27">
        <f>IF(AND(K28&gt;750,L28&gt;2),1,0)</f>
        <v>0</v>
      </c>
      <c r="Q28" s="27">
        <f>IF(AND(K28&lt;-750,L28&gt;2),1,0)</f>
        <v>0</v>
      </c>
      <c r="R28" s="27">
        <f>SUM(P28:Q28)</f>
        <v>0</v>
      </c>
      <c r="S28" s="31" t="str">
        <f>IF(R28&lt;&gt;0,A28&amp;" ("&amp;H28&amp;", "&amp;I28&amp;")"&amp;", ","")</f>
        <v/>
      </c>
      <c r="T28" s="25"/>
      <c r="U28" s="75" t="str">
        <f>IF(I28&lt;&gt;J28,A28&amp;" ("&amp;I28&amp;", "&amp;J28&amp;")"&amp;", ","")</f>
        <v/>
      </c>
      <c r="V28" s="25"/>
      <c r="W28" s="25"/>
      <c r="X28" s="25"/>
    </row>
    <row r="29" spans="1:24" customFormat="1" ht="12.75" customHeight="1" x14ac:dyDescent="0.35">
      <c r="A29" s="294"/>
      <c r="B29" s="311"/>
      <c r="C29" s="312"/>
      <c r="D29" s="312"/>
      <c r="E29" s="312"/>
      <c r="F29" s="312"/>
      <c r="G29" s="313"/>
      <c r="H29" s="314"/>
      <c r="I29" s="314"/>
      <c r="J29" s="314"/>
      <c r="K29" s="25"/>
      <c r="L29" s="25"/>
      <c r="M29" s="25"/>
      <c r="N29" s="82"/>
      <c r="O29" s="78"/>
      <c r="P29" s="25"/>
      <c r="Q29" s="25"/>
      <c r="R29" s="25"/>
      <c r="S29" s="25"/>
      <c r="T29" s="25"/>
      <c r="U29" s="25"/>
      <c r="V29" s="25"/>
      <c r="W29" s="25"/>
      <c r="X29" s="25"/>
    </row>
    <row r="30" spans="1:24" customFormat="1" ht="12.75" customHeight="1" x14ac:dyDescent="0.35">
      <c r="A30" s="294">
        <v>9</v>
      </c>
      <c r="B30" s="307" t="s">
        <v>646</v>
      </c>
      <c r="C30" s="308"/>
      <c r="D30" s="308"/>
      <c r="E30" s="308"/>
      <c r="F30" s="308"/>
      <c r="G30" s="309"/>
      <c r="H30" s="310">
        <f>SUM(H22:H28)</f>
        <v>45337</v>
      </c>
      <c r="I30" s="310">
        <f>SUM(I22:I28)</f>
        <v>406640</v>
      </c>
      <c r="J30" s="323">
        <f>SUM(J22:J28)</f>
        <v>406640</v>
      </c>
      <c r="K30" s="45">
        <f>H30-I30</f>
        <v>-361303</v>
      </c>
      <c r="L30" s="45">
        <f>IF(AND(OR(H30=0,I30&lt;&gt;0),OR(I30=0,H30&lt;&gt;0)),IF((H30+I30+K30&lt;&gt;0),IF(AND(OR(H30&gt;0,I30&lt;0),OR(I30&gt;0,H30&lt;0)),ABS(K30/MIN(ABS(I30),ABS(H30))),10),"-"),10)</f>
        <v>7.969274543970708</v>
      </c>
      <c r="M30" s="45"/>
      <c r="N30" s="52"/>
      <c r="O30" s="52"/>
      <c r="P30" s="25"/>
      <c r="Q30" s="25"/>
      <c r="R30" s="25"/>
      <c r="S30" s="25"/>
      <c r="T30" s="25"/>
      <c r="U30" s="25"/>
      <c r="V30" s="25"/>
      <c r="W30" s="25"/>
      <c r="X30" s="25"/>
    </row>
    <row r="31" spans="1:24" customFormat="1" ht="12.75" customHeight="1" thickBot="1" x14ac:dyDescent="0.4">
      <c r="A31" s="294"/>
      <c r="B31" s="324"/>
      <c r="C31" s="325"/>
      <c r="D31" s="325"/>
      <c r="E31" s="325"/>
      <c r="F31" s="325"/>
      <c r="G31" s="326"/>
      <c r="H31" s="314"/>
      <c r="I31" s="314"/>
      <c r="J31" s="314"/>
      <c r="K31" s="25"/>
      <c r="L31" s="25"/>
      <c r="M31" s="25"/>
      <c r="N31" s="78"/>
      <c r="O31" s="78"/>
      <c r="P31" s="25"/>
      <c r="Q31" s="25"/>
      <c r="R31" s="25"/>
      <c r="S31" s="25"/>
      <c r="T31" s="25"/>
      <c r="U31" s="25"/>
      <c r="V31" s="25"/>
      <c r="W31" s="25"/>
      <c r="X31" s="25"/>
    </row>
    <row r="32" spans="1:24" customFormat="1" ht="12.75" customHeight="1" thickBot="1" x14ac:dyDescent="0.4">
      <c r="A32" s="294">
        <v>10</v>
      </c>
      <c r="B32" s="311" t="s">
        <v>647</v>
      </c>
      <c r="C32" s="312"/>
      <c r="D32" s="312"/>
      <c r="E32" s="312"/>
      <c r="F32" s="312"/>
      <c r="G32" s="313"/>
      <c r="H32" s="306">
        <v>-743</v>
      </c>
      <c r="I32" s="306">
        <v>-849</v>
      </c>
      <c r="J32" s="305">
        <v>-849</v>
      </c>
      <c r="K32" s="41">
        <f>H32-I32</f>
        <v>106</v>
      </c>
      <c r="L32" s="43">
        <f>IF(AND(OR(H32=0,I32&lt;&gt;0),OR(I32=0,H32&lt;&gt;0)),IF((H32+I32+K32&lt;&gt;0),IF(AND(OR(H32&gt;0,I32&lt;0),OR(I32&gt;0,H32&lt;0)),ABS(K32/MIN(ABS(I32),ABS(H32))),10),"-"),10)</f>
        <v>0.14266487213997309</v>
      </c>
      <c r="M32" s="45"/>
      <c r="N32" s="73"/>
      <c r="O32" s="74"/>
      <c r="P32" s="27">
        <f>IF(AND(K32&gt;750,L32&gt;2),1,0)</f>
        <v>0</v>
      </c>
      <c r="Q32" s="27">
        <f>IF(AND(K32&lt;-750,L32&gt;2),1,0)</f>
        <v>0</v>
      </c>
      <c r="R32" s="27">
        <f>SUM(P32:Q32)</f>
        <v>0</v>
      </c>
      <c r="S32" s="75" t="str">
        <f>IF(R32&lt;&gt;0,A32&amp;" ("&amp;H32&amp;", "&amp;I32&amp;")"&amp;", ","")</f>
        <v/>
      </c>
      <c r="T32" s="25"/>
      <c r="U32" s="75" t="str">
        <f>IF(I32&lt;&gt;J32,A32&amp;" ("&amp;I32&amp;", "&amp;J32&amp;")"&amp;", ","")</f>
        <v/>
      </c>
      <c r="V32" s="25"/>
      <c r="W32" s="25"/>
      <c r="X32" s="25"/>
    </row>
    <row r="33" spans="1:24" customFormat="1" ht="12.75" customHeight="1" x14ac:dyDescent="0.35">
      <c r="A33" s="294"/>
      <c r="B33" s="311"/>
      <c r="C33" s="312"/>
      <c r="D33" s="312"/>
      <c r="E33" s="312"/>
      <c r="F33" s="312"/>
      <c r="G33" s="313"/>
      <c r="H33" s="327"/>
      <c r="I33" s="327"/>
      <c r="J33" s="327"/>
      <c r="K33" s="45"/>
      <c r="L33" s="45"/>
      <c r="M33" s="45"/>
      <c r="N33" s="77"/>
      <c r="O33" s="52"/>
      <c r="P33" s="25"/>
      <c r="Q33" s="25"/>
      <c r="R33" s="25"/>
      <c r="S33" s="25"/>
      <c r="T33" s="25"/>
      <c r="U33" s="25"/>
      <c r="V33" s="25"/>
      <c r="W33" s="25"/>
      <c r="X33" s="25"/>
    </row>
    <row r="34" spans="1:24" customFormat="1" ht="12.75" customHeight="1" x14ac:dyDescent="0.35">
      <c r="A34" s="294">
        <v>11</v>
      </c>
      <c r="B34" s="307" t="s">
        <v>648</v>
      </c>
      <c r="C34" s="308"/>
      <c r="D34" s="308"/>
      <c r="E34" s="308"/>
      <c r="F34" s="308"/>
      <c r="G34" s="309"/>
      <c r="H34" s="310">
        <f>H30+H32</f>
        <v>44594</v>
      </c>
      <c r="I34" s="310">
        <f>I30+I32</f>
        <v>405791</v>
      </c>
      <c r="J34" s="310">
        <f>J30+J32</f>
        <v>405791</v>
      </c>
      <c r="K34" s="45">
        <f>H34-I34</f>
        <v>-361197</v>
      </c>
      <c r="L34" s="45">
        <f>IF(AND(OR(H34=0,I34&lt;&gt;0),OR(I34=0,H34&lt;&gt;0)),IF((H34+I34+K34&lt;&gt;0),IF(AND(OR(H34&gt;0,I34&lt;0),OR(I34&gt;0,H34&lt;0)),ABS(K34/MIN(ABS(I34),ABS(H34))),10),"-"),10)</f>
        <v>8.0996770866035792</v>
      </c>
      <c r="M34" s="45"/>
      <c r="N34" s="52"/>
      <c r="O34" s="52"/>
      <c r="P34" s="25"/>
      <c r="Q34" s="25"/>
      <c r="R34" s="25"/>
      <c r="S34" s="25"/>
      <c r="T34" s="25"/>
      <c r="U34" s="25"/>
      <c r="V34" s="25"/>
      <c r="W34" s="25"/>
      <c r="X34" s="25"/>
    </row>
    <row r="35" spans="1:24" customFormat="1" ht="12.75" customHeight="1" thickBot="1" x14ac:dyDescent="0.4">
      <c r="A35" s="294"/>
      <c r="B35" s="311"/>
      <c r="C35" s="312"/>
      <c r="D35" s="312"/>
      <c r="E35" s="312"/>
      <c r="F35" s="312"/>
      <c r="G35" s="313"/>
      <c r="H35" s="314"/>
      <c r="I35" s="314"/>
      <c r="J35" s="314"/>
      <c r="K35" s="25"/>
      <c r="L35" s="25"/>
      <c r="M35" s="25"/>
      <c r="N35" s="25"/>
      <c r="O35" s="25"/>
      <c r="P35" s="25"/>
      <c r="Q35" s="25"/>
      <c r="R35" s="25"/>
      <c r="S35" s="25"/>
      <c r="T35" s="25"/>
      <c r="U35" s="25"/>
      <c r="V35" s="25"/>
      <c r="W35" s="25"/>
      <c r="X35" s="25"/>
    </row>
    <row r="36" spans="1:24" customFormat="1" ht="12.75" customHeight="1" thickBot="1" x14ac:dyDescent="0.4">
      <c r="A36" s="294">
        <v>12</v>
      </c>
      <c r="B36" s="311" t="s">
        <v>649</v>
      </c>
      <c r="C36" s="312"/>
      <c r="D36" s="312"/>
      <c r="E36" s="312"/>
      <c r="F36" s="312"/>
      <c r="G36" s="313"/>
      <c r="H36" s="306">
        <v>0</v>
      </c>
      <c r="I36" s="306">
        <v>0</v>
      </c>
      <c r="J36" s="306">
        <v>0</v>
      </c>
      <c r="K36" s="45">
        <f>H36-I36</f>
        <v>0</v>
      </c>
      <c r="L36" s="45" t="str">
        <f>IF(AND(OR(H36=0,I36&lt;&gt;0),OR(I36=0,H36&lt;&gt;0)),IF((H36+I36+K36&lt;&gt;0),IF(AND(OR(H36&gt;0,I36&lt;0),OR(I36&gt;0,H36&lt;0)),ABS(K36/MIN(ABS(I36),ABS(H36))),10),"-"),10)</f>
        <v>-</v>
      </c>
      <c r="M36" s="45"/>
      <c r="N36" s="52"/>
      <c r="O36" s="52"/>
      <c r="P36" s="25"/>
      <c r="Q36" s="25"/>
      <c r="R36" s="25"/>
      <c r="S36" s="25"/>
      <c r="T36" s="25"/>
      <c r="U36" s="75" t="str">
        <f>IF(I36&lt;&gt;J36,A36&amp;" ("&amp;I36&amp;", "&amp;J36&amp;")"&amp;", ","")</f>
        <v/>
      </c>
      <c r="V36" s="25"/>
      <c r="W36" s="25"/>
      <c r="X36" s="25"/>
    </row>
    <row r="37" spans="1:24" customFormat="1" ht="12.75" customHeight="1" thickBot="1" x14ac:dyDescent="0.4">
      <c r="A37" s="294">
        <v>13</v>
      </c>
      <c r="B37" s="311" t="s">
        <v>650</v>
      </c>
      <c r="C37" s="312"/>
      <c r="D37" s="312"/>
      <c r="E37" s="312"/>
      <c r="F37" s="312"/>
      <c r="G37" s="313"/>
      <c r="H37" s="306">
        <v>29586</v>
      </c>
      <c r="I37" s="306">
        <v>-12881</v>
      </c>
      <c r="J37" s="306">
        <v>-12881</v>
      </c>
      <c r="K37" s="45">
        <f>H37-I37</f>
        <v>42467</v>
      </c>
      <c r="L37" s="45">
        <f>IF(AND(OR(H37=0,I37&lt;&gt;0),OR(I37=0,H37&lt;&gt;0)),IF((H37+I37+K37&lt;&gt;0),IF(AND(OR(H37&gt;0,I37&lt;0),OR(I37&gt;0,H37&lt;0)),ABS(K37/MIN(ABS(I37),ABS(H37))),10),"-"),10)</f>
        <v>10</v>
      </c>
      <c r="M37" s="45"/>
      <c r="N37" s="52"/>
      <c r="O37" s="52"/>
      <c r="P37" s="25"/>
      <c r="Q37" s="25"/>
      <c r="R37" s="25"/>
      <c r="S37" s="25"/>
      <c r="T37" s="25"/>
      <c r="U37" s="75" t="str">
        <f>IF(I37&lt;&gt;J37,A37&amp;" ("&amp;I37&amp;", "&amp;J37&amp;")"&amp;", ","")</f>
        <v/>
      </c>
      <c r="V37" s="25"/>
      <c r="W37" s="25"/>
      <c r="X37" s="25"/>
    </row>
    <row r="38" spans="1:24" customFormat="1" ht="15" customHeight="1" thickBot="1" x14ac:dyDescent="0.4">
      <c r="A38" s="294">
        <v>14</v>
      </c>
      <c r="B38" s="311" t="s">
        <v>651</v>
      </c>
      <c r="C38" s="312"/>
      <c r="D38" s="312"/>
      <c r="E38" s="312"/>
      <c r="F38" s="312"/>
      <c r="G38" s="313"/>
      <c r="H38" s="306">
        <v>0</v>
      </c>
      <c r="I38" s="306">
        <v>0</v>
      </c>
      <c r="J38" s="306">
        <v>0</v>
      </c>
      <c r="K38" s="45">
        <f>H38-I38</f>
        <v>0</v>
      </c>
      <c r="L38" s="45" t="str">
        <f>IF(AND(OR(H38=0,I38&lt;&gt;0),OR(I38=0,H38&lt;&gt;0)),IF((H38+I38+K38&lt;&gt;0),IF(AND(OR(H38&gt;0,I38&lt;0),OR(I38&gt;0,H38&lt;0)),ABS(K38/MIN(ABS(I38),ABS(H38))),10),"-"),10)</f>
        <v>-</v>
      </c>
      <c r="M38" s="45"/>
      <c r="N38" s="78" t="s">
        <v>652</v>
      </c>
      <c r="O38" s="78"/>
      <c r="P38" s="25"/>
      <c r="Q38" s="25"/>
      <c r="R38" s="25"/>
      <c r="S38" s="25"/>
      <c r="T38" s="25"/>
      <c r="U38" s="75" t="str">
        <f>IF(I38&lt;&gt;J38,A38&amp;" ("&amp;I38&amp;", "&amp;J38&amp;")"&amp;", ","")</f>
        <v/>
      </c>
      <c r="V38" s="25"/>
      <c r="W38" s="25"/>
      <c r="X38" s="25"/>
    </row>
    <row r="39" spans="1:24" customFormat="1" ht="12.75" customHeight="1" thickBot="1" x14ac:dyDescent="0.4">
      <c r="A39" s="294">
        <v>15</v>
      </c>
      <c r="B39" s="311" t="s">
        <v>653</v>
      </c>
      <c r="C39" s="312"/>
      <c r="D39" s="312"/>
      <c r="E39" s="312"/>
      <c r="F39" s="312"/>
      <c r="G39" s="313"/>
      <c r="H39" s="306">
        <v>0</v>
      </c>
      <c r="I39" s="306">
        <v>0</v>
      </c>
      <c r="J39" s="306">
        <v>0</v>
      </c>
      <c r="K39" s="45">
        <f>H39-I39</f>
        <v>0</v>
      </c>
      <c r="L39" s="45" t="str">
        <f>IF(AND(OR(H39=0,I39&lt;&gt;0),OR(I39=0,H39&lt;&gt;0)),IF((H39+I39+K39&lt;&gt;0),IF(AND(OR(H39&gt;0,I39&lt;0),OR(I39&gt;0,H39&lt;0)),ABS(K39/MIN(ABS(I39),ABS(H39))),10),"-"),10)</f>
        <v>-</v>
      </c>
      <c r="M39" s="45"/>
      <c r="N39" s="73"/>
      <c r="O39" s="74"/>
      <c r="P39" s="25"/>
      <c r="Q39" s="25"/>
      <c r="R39" s="25"/>
      <c r="S39" s="25"/>
      <c r="T39" s="25"/>
      <c r="U39" s="75" t="str">
        <f>IF(I39&lt;&gt;J39,A39&amp;" ("&amp;I39&amp;", "&amp;J39&amp;")"&amp;", ","")</f>
        <v/>
      </c>
      <c r="V39" s="25"/>
      <c r="W39" s="25"/>
      <c r="X39" s="25"/>
    </row>
    <row r="40" spans="1:24" customFormat="1" ht="12.75" customHeight="1" x14ac:dyDescent="0.35">
      <c r="A40" s="294"/>
      <c r="B40" s="311"/>
      <c r="C40" s="312"/>
      <c r="D40" s="312"/>
      <c r="E40" s="312"/>
      <c r="F40" s="312"/>
      <c r="G40" s="313"/>
      <c r="H40" s="328"/>
      <c r="I40" s="328"/>
      <c r="J40" s="314"/>
      <c r="K40" s="25"/>
      <c r="L40" s="25"/>
      <c r="M40" s="25"/>
      <c r="N40" s="25"/>
      <c r="O40" s="25"/>
      <c r="P40" s="25"/>
      <c r="Q40" s="25"/>
      <c r="R40" s="25"/>
      <c r="S40" s="25"/>
      <c r="T40" s="25"/>
      <c r="U40" s="25"/>
      <c r="V40" s="25"/>
      <c r="W40" s="25"/>
      <c r="X40" s="25"/>
    </row>
    <row r="41" spans="1:24" customFormat="1" ht="15.75" customHeight="1" x14ac:dyDescent="0.35">
      <c r="A41" s="294">
        <v>16</v>
      </c>
      <c r="B41" s="329" t="s">
        <v>654</v>
      </c>
      <c r="C41" s="330"/>
      <c r="D41" s="308"/>
      <c r="E41" s="308"/>
      <c r="F41" s="308"/>
      <c r="G41" s="309"/>
      <c r="H41" s="310">
        <f>H34+H36+H37+H38+H39</f>
        <v>74180</v>
      </c>
      <c r="I41" s="310">
        <f>I34+I36+I37+I38+I39</f>
        <v>392910</v>
      </c>
      <c r="J41" s="310">
        <f>J34+J36+J37+J38</f>
        <v>392910</v>
      </c>
      <c r="K41" s="45">
        <f>H41-I41</f>
        <v>-318730</v>
      </c>
      <c r="L41" s="45">
        <f>IF(AND(OR(H41=0,I41&lt;&gt;0),OR(I41=0,H41&lt;&gt;0)),IF((H41+I41+K41&lt;&gt;0),IF(AND(OR(H41&gt;0,I41&lt;0),OR(I41&gt;0,H41&lt;0)),ABS(K41/MIN(ABS(I41),ABS(H41))),10),"-"),10)</f>
        <v>4.2967107036937175</v>
      </c>
      <c r="M41" s="45"/>
      <c r="N41" s="52"/>
      <c r="O41" s="52"/>
      <c r="P41" s="25"/>
      <c r="Q41" s="25"/>
      <c r="R41" s="25"/>
      <c r="S41" s="25"/>
      <c r="T41" s="25"/>
      <c r="U41" s="25"/>
      <c r="V41" s="25"/>
      <c r="W41" s="25"/>
      <c r="X41" s="25"/>
    </row>
    <row r="42" spans="1:24" customFormat="1" ht="12.75" customHeight="1" x14ac:dyDescent="0.35">
      <c r="A42" s="294"/>
      <c r="B42" s="331"/>
      <c r="C42" s="332"/>
      <c r="D42" s="312"/>
      <c r="E42" s="312"/>
      <c r="F42" s="312"/>
      <c r="G42" s="313"/>
      <c r="H42" s="314"/>
      <c r="I42" s="314"/>
      <c r="J42" s="314"/>
      <c r="K42" s="25"/>
      <c r="L42" s="25"/>
      <c r="M42" s="25"/>
      <c r="N42" s="25"/>
      <c r="O42" s="25"/>
      <c r="P42" s="25"/>
      <c r="Q42" s="25"/>
      <c r="R42" s="25"/>
      <c r="S42" s="25"/>
      <c r="T42" s="25"/>
      <c r="U42" s="25"/>
      <c r="V42" s="25"/>
      <c r="W42" s="25"/>
      <c r="X42" s="25"/>
    </row>
    <row r="43" spans="1:24" customFormat="1" ht="14.25" customHeight="1" thickBot="1" x14ac:dyDescent="0.4">
      <c r="A43" s="294">
        <v>17</v>
      </c>
      <c r="B43" s="333" t="s">
        <v>655</v>
      </c>
      <c r="C43" s="334"/>
      <c r="D43" s="296"/>
      <c r="E43" s="296"/>
      <c r="F43" s="296"/>
      <c r="G43" s="297"/>
      <c r="H43" s="315"/>
      <c r="I43" s="315"/>
      <c r="J43" s="315"/>
      <c r="K43" s="25"/>
      <c r="L43" s="25"/>
      <c r="M43" s="25"/>
      <c r="N43" s="25"/>
      <c r="O43" s="25"/>
      <c r="P43" s="25"/>
      <c r="Q43" s="25"/>
      <c r="R43" s="25"/>
      <c r="S43" s="25"/>
      <c r="T43" s="25"/>
      <c r="U43" s="25"/>
      <c r="V43" s="25"/>
      <c r="W43" s="25"/>
      <c r="X43" s="25"/>
    </row>
    <row r="44" spans="1:24" customFormat="1" ht="12.75" customHeight="1" thickBot="1" x14ac:dyDescent="0.4">
      <c r="A44" s="294" t="s">
        <v>656</v>
      </c>
      <c r="B44" s="331"/>
      <c r="C44" s="335" t="s">
        <v>657</v>
      </c>
      <c r="D44" s="312"/>
      <c r="E44" s="312"/>
      <c r="F44" s="312"/>
      <c r="G44" s="313"/>
      <c r="H44" s="306">
        <v>24365</v>
      </c>
      <c r="I44" s="306">
        <v>20600</v>
      </c>
      <c r="J44" s="306">
        <v>20600</v>
      </c>
      <c r="K44" s="45">
        <f t="shared" ref="K44:K50" si="4">H44-I44</f>
        <v>3765</v>
      </c>
      <c r="L44" s="45">
        <f t="shared" ref="L44:L50" si="5">IF(AND(OR(H44=0,I44&lt;&gt;0),OR(I44=0,H44&lt;&gt;0)),IF((H44+I44+K44&lt;&gt;0),IF(AND(OR(H44&gt;0,I44&lt;0),OR(I44&gt;0,H44&lt;0)),ABS(K44/MIN(ABS(I44),ABS(H44))),10),"-"),10)</f>
        <v>0.18276699029126214</v>
      </c>
      <c r="M44" s="45"/>
      <c r="N44" s="52"/>
      <c r="O44" s="52"/>
      <c r="P44" s="25"/>
      <c r="Q44" s="25"/>
      <c r="R44" s="25"/>
      <c r="S44" s="25"/>
      <c r="T44" s="25"/>
      <c r="U44" s="75" t="str">
        <f>IF(I44&lt;&gt;J44,A44&amp;" ("&amp;I44&amp;", "&amp;J44&amp;")"&amp;", ","")</f>
        <v/>
      </c>
      <c r="V44" s="25"/>
      <c r="W44" s="25"/>
      <c r="X44" s="25"/>
    </row>
    <row r="45" spans="1:24" customFormat="1" ht="12.75" customHeight="1" thickBot="1" x14ac:dyDescent="0.4">
      <c r="A45" s="294" t="s">
        <v>658</v>
      </c>
      <c r="B45" s="331"/>
      <c r="C45" s="335" t="s">
        <v>659</v>
      </c>
      <c r="D45" s="312"/>
      <c r="E45" s="312"/>
      <c r="F45" s="312"/>
      <c r="G45" s="313"/>
      <c r="H45" s="306">
        <v>-10848</v>
      </c>
      <c r="I45" s="306">
        <v>35802</v>
      </c>
      <c r="J45" s="306">
        <v>35802</v>
      </c>
      <c r="K45" s="45">
        <f t="shared" si="4"/>
        <v>-46650</v>
      </c>
      <c r="L45" s="45">
        <f t="shared" si="5"/>
        <v>10</v>
      </c>
      <c r="M45" s="45"/>
      <c r="N45" s="52"/>
      <c r="O45" s="52"/>
      <c r="P45" s="25"/>
      <c r="Q45" s="25"/>
      <c r="R45" s="25"/>
      <c r="S45" s="25"/>
      <c r="T45" s="25"/>
      <c r="U45" s="75" t="str">
        <f>IF(I45&lt;&gt;J45,A45&amp;" ("&amp;I45&amp;", "&amp;J45&amp;")"&amp;", ","")</f>
        <v/>
      </c>
      <c r="V45" s="25"/>
      <c r="W45" s="25"/>
      <c r="X45" s="25"/>
    </row>
    <row r="46" spans="1:24" customFormat="1" ht="12.75" customHeight="1" thickBot="1" x14ac:dyDescent="0.4">
      <c r="A46" s="294" t="s">
        <v>660</v>
      </c>
      <c r="B46" s="331"/>
      <c r="C46" s="335" t="s">
        <v>661</v>
      </c>
      <c r="D46" s="312"/>
      <c r="E46" s="312"/>
      <c r="F46" s="312"/>
      <c r="G46" s="313"/>
      <c r="H46" s="306">
        <v>60663</v>
      </c>
      <c r="I46" s="306">
        <v>336508</v>
      </c>
      <c r="J46" s="306">
        <v>336508</v>
      </c>
      <c r="K46" s="45">
        <f t="shared" si="4"/>
        <v>-275845</v>
      </c>
      <c r="L46" s="45">
        <f t="shared" si="5"/>
        <v>4.5471704333778415</v>
      </c>
      <c r="M46" s="45"/>
      <c r="N46" s="52"/>
      <c r="O46" s="52"/>
      <c r="P46" s="25"/>
      <c r="Q46" s="25"/>
      <c r="R46" s="25"/>
      <c r="S46" s="25"/>
      <c r="T46" s="25"/>
      <c r="U46" s="75" t="str">
        <f>IF(I46&lt;&gt;J46,A46&amp;" ("&amp;I46&amp;", "&amp;J46&amp;")"&amp;", ","")</f>
        <v/>
      </c>
      <c r="V46" s="25"/>
      <c r="W46" s="25"/>
      <c r="X46" s="25"/>
    </row>
    <row r="47" spans="1:24" customFormat="1" ht="12.75" customHeight="1" thickBot="1" x14ac:dyDescent="0.4">
      <c r="A47" s="294" t="s">
        <v>662</v>
      </c>
      <c r="B47" s="331"/>
      <c r="C47" s="335" t="s">
        <v>663</v>
      </c>
      <c r="D47" s="312"/>
      <c r="E47" s="312"/>
      <c r="F47" s="312"/>
      <c r="G47" s="313"/>
      <c r="H47" s="306">
        <v>0</v>
      </c>
      <c r="I47" s="306">
        <v>0</v>
      </c>
      <c r="J47" s="306">
        <v>0</v>
      </c>
      <c r="K47" s="45">
        <f t="shared" si="4"/>
        <v>0</v>
      </c>
      <c r="L47" s="45" t="str">
        <f t="shared" si="5"/>
        <v>-</v>
      </c>
      <c r="M47" s="45"/>
      <c r="N47" s="52"/>
      <c r="O47" s="52"/>
      <c r="P47" s="25"/>
      <c r="Q47" s="25"/>
      <c r="R47" s="25"/>
      <c r="S47" s="25"/>
      <c r="T47" s="25"/>
      <c r="U47" s="75" t="str">
        <f>IF(I47&lt;&gt;J47,A47&amp;" ("&amp;I47&amp;", "&amp;J47&amp;")"&amp;", ","")</f>
        <v/>
      </c>
      <c r="V47" s="25"/>
      <c r="W47" s="25"/>
      <c r="X47" s="25"/>
    </row>
    <row r="48" spans="1:24" customFormat="1" ht="12.75" customHeight="1" thickBot="1" x14ac:dyDescent="0.4">
      <c r="A48" s="294" t="s">
        <v>664</v>
      </c>
      <c r="B48" s="336" t="s">
        <v>665</v>
      </c>
      <c r="C48" s="336"/>
      <c r="D48" s="337"/>
      <c r="E48" s="337"/>
      <c r="F48" s="337"/>
      <c r="G48" s="338"/>
      <c r="H48" s="310">
        <f>SUM(H44:H47)</f>
        <v>74180</v>
      </c>
      <c r="I48" s="310">
        <f>SUM(I44:I47)</f>
        <v>392910</v>
      </c>
      <c r="J48" s="310">
        <f>SUM(J44:J47)</f>
        <v>392910</v>
      </c>
      <c r="K48" s="45">
        <f t="shared" si="4"/>
        <v>-318730</v>
      </c>
      <c r="L48" s="45">
        <f t="shared" si="5"/>
        <v>4.2967107036937175</v>
      </c>
      <c r="M48" s="45"/>
      <c r="N48" s="52"/>
      <c r="O48" s="52"/>
      <c r="P48" s="25"/>
      <c r="Q48" s="25"/>
      <c r="R48" s="25"/>
      <c r="S48" s="25"/>
      <c r="T48" s="25"/>
      <c r="U48" s="25"/>
      <c r="V48" s="25"/>
      <c r="W48" s="25"/>
      <c r="X48" s="25"/>
    </row>
    <row r="49" spans="1:24" customFormat="1" ht="12.65" customHeight="1" thickBot="1" x14ac:dyDescent="0.4">
      <c r="A49" s="294" t="s">
        <v>666</v>
      </c>
      <c r="B49" s="335" t="s">
        <v>667</v>
      </c>
      <c r="C49" s="335"/>
      <c r="D49" s="312"/>
      <c r="E49" s="312"/>
      <c r="F49" s="312"/>
      <c r="G49" s="313"/>
      <c r="H49" s="306">
        <v>0</v>
      </c>
      <c r="I49" s="306">
        <v>0</v>
      </c>
      <c r="J49" s="306">
        <v>0</v>
      </c>
      <c r="K49" s="45">
        <f t="shared" si="4"/>
        <v>0</v>
      </c>
      <c r="L49" s="45" t="str">
        <f t="shared" si="5"/>
        <v>-</v>
      </c>
      <c r="M49" s="45"/>
      <c r="N49" s="52"/>
      <c r="O49" s="52"/>
      <c r="P49" s="25"/>
      <c r="Q49" s="25"/>
      <c r="R49" s="25"/>
      <c r="S49" s="25"/>
      <c r="T49" s="25"/>
      <c r="U49" s="75" t="str">
        <f>IF(I49&lt;&gt;J49,A49&amp;" ("&amp;I49&amp;", "&amp;J49&amp;")"&amp;", ","")</f>
        <v/>
      </c>
      <c r="V49" s="25"/>
      <c r="W49" s="25"/>
      <c r="X49" s="25"/>
    </row>
    <row r="50" spans="1:24" customFormat="1" ht="13" customHeight="1" x14ac:dyDescent="0.35">
      <c r="A50" s="294" t="s">
        <v>668</v>
      </c>
      <c r="B50" s="330" t="s">
        <v>669</v>
      </c>
      <c r="C50" s="330"/>
      <c r="D50" s="308"/>
      <c r="E50" s="308"/>
      <c r="F50" s="308"/>
      <c r="G50" s="308"/>
      <c r="H50" s="310">
        <f>H48+H49</f>
        <v>74180</v>
      </c>
      <c r="I50" s="310">
        <f>I48+I49</f>
        <v>392910</v>
      </c>
      <c r="J50" s="339">
        <f>J48+J49</f>
        <v>392910</v>
      </c>
      <c r="K50" s="45">
        <f t="shared" si="4"/>
        <v>-318730</v>
      </c>
      <c r="L50" s="45">
        <f t="shared" si="5"/>
        <v>4.2967107036937175</v>
      </c>
      <c r="M50" s="45"/>
      <c r="N50" s="52"/>
      <c r="O50" s="52"/>
      <c r="P50" s="25"/>
      <c r="Q50" s="25"/>
      <c r="R50" s="25"/>
      <c r="S50" s="25"/>
      <c r="T50" s="25"/>
      <c r="U50" s="25"/>
      <c r="V50" s="25"/>
      <c r="W50" s="25"/>
      <c r="X50" s="25"/>
    </row>
    <row r="51" spans="1:24" x14ac:dyDescent="0.25">
      <c r="A51" s="294"/>
      <c r="B51" s="331"/>
      <c r="D51" s="312"/>
      <c r="E51" s="312"/>
      <c r="F51" s="312"/>
      <c r="G51" s="313"/>
      <c r="H51" s="328"/>
      <c r="I51" s="314"/>
      <c r="J51" s="314"/>
    </row>
    <row r="52" spans="1:24" customFormat="1" ht="14.25" customHeight="1" thickBot="1" x14ac:dyDescent="0.4">
      <c r="A52" s="294">
        <v>18</v>
      </c>
      <c r="B52" s="333" t="s">
        <v>670</v>
      </c>
      <c r="C52" s="334"/>
      <c r="D52" s="296"/>
      <c r="E52" s="296"/>
      <c r="F52" s="296"/>
      <c r="G52" s="297"/>
      <c r="H52" s="315"/>
      <c r="I52" s="315"/>
      <c r="J52" s="315"/>
      <c r="K52" s="25"/>
      <c r="L52" s="25"/>
      <c r="M52" s="25"/>
      <c r="N52" s="25"/>
      <c r="O52" s="25"/>
      <c r="P52" s="25"/>
      <c r="Q52" s="25"/>
      <c r="R52" s="25"/>
      <c r="S52" s="25"/>
      <c r="T52" s="25"/>
      <c r="U52" s="25"/>
      <c r="V52" s="25"/>
      <c r="W52" s="25"/>
      <c r="X52" s="25"/>
    </row>
    <row r="53" spans="1:24" customFormat="1" ht="12.65" customHeight="1" thickBot="1" x14ac:dyDescent="0.4">
      <c r="A53" s="294" t="s">
        <v>671</v>
      </c>
      <c r="B53" s="331"/>
      <c r="C53" s="335" t="s">
        <v>672</v>
      </c>
      <c r="D53" s="312"/>
      <c r="E53" s="312"/>
      <c r="F53" s="312"/>
      <c r="G53" s="313"/>
      <c r="H53" s="306">
        <v>0</v>
      </c>
      <c r="I53" s="306">
        <v>0</v>
      </c>
      <c r="J53" s="306">
        <v>0</v>
      </c>
      <c r="K53" s="45">
        <f>H53-I53</f>
        <v>0</v>
      </c>
      <c r="L53" s="45" t="str">
        <f>IF(AND(OR(H53=0,I53&lt;&gt;0),OR(I53=0,H53&lt;&gt;0)),IF((H53+I53+K53&lt;&gt;0),IF(AND(OR(H53&gt;0,I53&lt;0),OR(I53&gt;0,H53&lt;0)),ABS(K53/MIN(ABS(I53),ABS(H53))),10),"-"),10)</f>
        <v>-</v>
      </c>
      <c r="M53" s="45"/>
      <c r="N53" s="52"/>
      <c r="O53" s="52"/>
      <c r="P53" s="25"/>
      <c r="Q53" s="25"/>
      <c r="R53" s="25"/>
      <c r="S53" s="25"/>
      <c r="T53" s="25"/>
      <c r="U53" s="75" t="str">
        <f>IF(I53&lt;&gt;J53,A53&amp;" ("&amp;I53&amp;", "&amp;J53&amp;")"&amp;", ","")</f>
        <v/>
      </c>
      <c r="V53" s="25"/>
      <c r="W53" s="25"/>
      <c r="X53" s="25"/>
    </row>
    <row r="54" spans="1:24" x14ac:dyDescent="0.25">
      <c r="A54" s="294" t="s">
        <v>673</v>
      </c>
      <c r="B54" s="340"/>
      <c r="C54" s="336" t="s">
        <v>674</v>
      </c>
      <c r="D54" s="337"/>
      <c r="E54" s="337"/>
      <c r="F54" s="337"/>
      <c r="G54" s="338"/>
      <c r="H54" s="310">
        <f>H34-H53</f>
        <v>44594</v>
      </c>
      <c r="I54" s="310">
        <f>I34-I53</f>
        <v>405791</v>
      </c>
      <c r="J54" s="310">
        <f>J34-J53</f>
        <v>405791</v>
      </c>
      <c r="K54" s="83">
        <f>H54-I54</f>
        <v>-361197</v>
      </c>
      <c r="L54" s="45">
        <f>IF(AND(OR(H54=0,I54&lt;&gt;0),OR(I54=0,H54&lt;&gt;0)),IF((H54+I54+K54&lt;&gt;0),IF(AND(OR(H54&gt;0,I54&lt;0),OR(I54&gt;0,H54&lt;0)),ABS(K54/MIN(ABS(I54),ABS(H54))),10),"-"),10)</f>
        <v>8.0996770866035792</v>
      </c>
      <c r="M54" s="45"/>
      <c r="N54" s="52"/>
      <c r="O54" s="52"/>
    </row>
    <row r="55" spans="1:24" x14ac:dyDescent="0.25">
      <c r="B55" s="341"/>
      <c r="C55" s="341"/>
      <c r="D55" s="341"/>
      <c r="E55" s="341"/>
      <c r="F55" s="341"/>
      <c r="G55" s="341"/>
      <c r="H55" s="341"/>
      <c r="I55" s="341"/>
      <c r="N55" s="78" t="s">
        <v>675</v>
      </c>
      <c r="O55" s="85"/>
    </row>
    <row r="56" spans="1:24" customFormat="1" ht="37.5" customHeight="1" x14ac:dyDescent="0.35">
      <c r="A56" s="294">
        <v>19</v>
      </c>
      <c r="B56" s="677" t="s">
        <v>676</v>
      </c>
      <c r="C56" s="678"/>
      <c r="D56" s="312"/>
      <c r="E56" s="312"/>
      <c r="F56" s="312"/>
      <c r="G56" s="313"/>
      <c r="H56" s="342" t="s">
        <v>101</v>
      </c>
      <c r="I56" s="342" t="s">
        <v>100</v>
      </c>
      <c r="J56" s="342"/>
      <c r="K56" s="25"/>
      <c r="L56" s="25"/>
      <c r="M56" s="25"/>
      <c r="N56" s="73" t="s">
        <v>1422</v>
      </c>
      <c r="O56" s="74"/>
      <c r="P56" s="25"/>
      <c r="Q56" s="25"/>
      <c r="R56" s="25"/>
      <c r="S56" s="25"/>
      <c r="T56" s="25"/>
      <c r="U56" s="25"/>
      <c r="V56" s="25"/>
      <c r="W56" s="25"/>
      <c r="X56" s="25"/>
    </row>
    <row r="58" spans="1:24" x14ac:dyDescent="0.25">
      <c r="B58" s="27" t="s">
        <v>677</v>
      </c>
    </row>
  </sheetData>
  <sheetProtection algorithmName="SHA-512" hashValue="TnWcYH/URlO1WXjJIHrou0lO1lDEowAKwap4vVDvCYLXBJY7UGIKsjd8WKXSUnCeZuhFUPSCqQxMJ8baMeR9dQ==" saltValue="Hj1hIec927Ti5eM7JRdttA==" spinCount="100000" sheet="1" objects="1"/>
  <mergeCells count="1">
    <mergeCell ref="B56:C56"/>
  </mergeCells>
  <conditionalFormatting sqref="I6:I11">
    <cfRule type="expression" dxfId="71" priority="1">
      <formula>I6&lt;&gt;J6</formula>
    </cfRule>
  </conditionalFormatting>
  <conditionalFormatting sqref="I15:I19">
    <cfRule type="expression" dxfId="70" priority="2">
      <formula>I15&lt;&gt;J15</formula>
    </cfRule>
  </conditionalFormatting>
  <conditionalFormatting sqref="I24">
    <cfRule type="expression" dxfId="69" priority="3">
      <formula>I24&lt;&gt;J24</formula>
    </cfRule>
  </conditionalFormatting>
  <conditionalFormatting sqref="I26:I28">
    <cfRule type="expression" dxfId="68" priority="4">
      <formula>I26&lt;&gt;J26</formula>
    </cfRule>
  </conditionalFormatting>
  <conditionalFormatting sqref="I32">
    <cfRule type="expression" dxfId="67" priority="5">
      <formula>I32&lt;&gt;J32</formula>
    </cfRule>
  </conditionalFormatting>
  <conditionalFormatting sqref="I36:I39">
    <cfRule type="expression" dxfId="66" priority="6">
      <formula>I36&lt;&gt;J36</formula>
    </cfRule>
  </conditionalFormatting>
  <conditionalFormatting sqref="I44:I47">
    <cfRule type="expression" dxfId="65" priority="7">
      <formula>I44&lt;&gt;J44</formula>
    </cfRule>
  </conditionalFormatting>
  <conditionalFormatting sqref="I49">
    <cfRule type="expression" dxfId="64" priority="8">
      <formula>I49&lt;&gt;J49</formula>
    </cfRule>
  </conditionalFormatting>
  <conditionalFormatting sqref="I53">
    <cfRule type="expression" dxfId="63" priority="9">
      <formula>I53&lt;&gt;J53</formula>
    </cfRule>
  </conditionalFormatting>
  <conditionalFormatting sqref="N7:O7">
    <cfRule type="expression" dxfId="62" priority="10">
      <formula>AND(OR((L7)&gt;2,(L7)&lt;-2),(L7)&lt;&gt;"-",OR((K7)&gt;750,(K7)&lt;-750))</formula>
    </cfRule>
  </conditionalFormatting>
  <conditionalFormatting sqref="N9:O11">
    <cfRule type="expression" dxfId="61" priority="11">
      <formula>AND(OR((L9)&gt;2,(L9)&lt;-2),(L9)&lt;&gt;"-",OR((K9)&gt;750,(K9)&lt;-750))</formula>
    </cfRule>
  </conditionalFormatting>
  <conditionalFormatting sqref="N16:O16">
    <cfRule type="expression" dxfId="60" priority="12">
      <formula>AND(OR((L16)&gt;2,(L16)&lt;-2),(L16)&lt;&gt;"-",OR((K16)&gt;750,(K16)&lt;-750))</formula>
    </cfRule>
  </conditionalFormatting>
  <conditionalFormatting sqref="N18:O19">
    <cfRule type="expression" dxfId="59" priority="13">
      <formula>AND(OR((L18)&gt;2,(L18)&lt;-2),(L18)&lt;&gt;"-",OR((K18)&gt;750,(K18)&lt;-750))</formula>
    </cfRule>
  </conditionalFormatting>
  <conditionalFormatting sqref="N24:O24">
    <cfRule type="expression" dxfId="58" priority="14">
      <formula>AND(OR((L24)&gt;2,(L24)&lt;-2),(L24)&lt;&gt;"-",OR((K24)&gt;750,(K24)&lt;-750))</formula>
    </cfRule>
  </conditionalFormatting>
  <conditionalFormatting sqref="N26:O28">
    <cfRule type="expression" dxfId="57" priority="15">
      <formula>AND(OR((L26)&gt;2,(L26)&lt;-2),(L26)&lt;&gt;"-",OR((K26)&gt;750,(K26)&lt;-750))</formula>
    </cfRule>
  </conditionalFormatting>
  <conditionalFormatting sqref="N32:O32">
    <cfRule type="expression" dxfId="56" priority="16">
      <formula>AND(OR((L32)&gt;2,(L32)&lt;-2),(L32)&lt;&gt;"-",OR((K32)&gt;750,(K32)&lt;-750))</formula>
    </cfRule>
  </conditionalFormatting>
  <dataValidations count="5">
    <dataValidation type="whole" operator="greaterThan" allowBlank="1" showInputMessage="1" showErrorMessage="1" errorTitle="Whole numbers only allowed" error="All monies should be independently rounded to the nearest £1,000." sqref="I6:J11 H9 I15:J19 H18 H24:J28 H32:J32 H36:J38 J39 H44:J50 H53:J54" xr:uid="{00000000-0002-0000-0400-000000000000}">
      <formula1>-99999999</formula1>
    </dataValidation>
    <dataValidation type="textLength" allowBlank="1" showInputMessage="1" showErrorMessage="1" errorTitle="Maximum 255 text characters" error="Only text up to 255 characters is allowed here." promptTitle="Maximum 255 text characters" prompt=" " sqref="N39:O39 N56:O56" xr:uid="{00000000-0002-0000-0400-000001000000}">
      <formula1>0</formula1>
      <formula2>255</formula2>
    </dataValidation>
    <dataValidation type="whole" operator="greaterThan" allowBlank="1" showInputMessage="1" showErrorMessage="1" errorTitle="Whole numbers only allowed" error="All monies should be independently rounded to the nearest £1,000." promptTitle="If a value is entered here..." prompt="Please complete the text box to the right (N39)_x000a_" sqref="H39" xr:uid="{00000000-0002-0000-0400-000002000000}">
      <formula1>-99999999</formula1>
    </dataValidation>
    <dataValidation type="whole" operator="greaterThan" allowBlank="1" showInputMessage="1" showErrorMessage="1" errorTitle="Whole numbers only allowed" error="All monies should be independently rounded to the nearest £1,000." sqref="I39" xr:uid="{00000000-0002-0000-0400-000003000000}">
      <formula1>-9999999</formula1>
    </dataValidation>
    <dataValidation type="whole" operator="greaterThan" allowBlank="1" showInputMessage="1" showErrorMessage="1" errorTitle="Whole numbers only allowed" error="All monies should be independently rounded to the nearest £1,000." sqref="H6:H8 H10:H11 H15:H17 H19" xr:uid="{00000000-0002-0000-0400-000004000000}">
      <formula1>-999999999</formula1>
    </dataValidation>
  </dataValidations>
  <printOptions headings="1" gridLines="1"/>
  <pageMargins left="0.11811023622047245" right="0.11811023622047245" top="0.35433070866141736" bottom="0.35433070866141736" header="0.11811023622047245" footer="0.11811023622047245"/>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'Hide_me(drop_downs)'!$A$6:$A$10</xm:f>
          </x14:formula1>
          <xm:sqref>N9:O11 N26:O28 N18:O19 N7:O7 N16:O16 N24:O24 N32:O32</xm:sqref>
        </x14:dataValidation>
        <x14:dataValidation type="list" allowBlank="1" showInputMessage="1" showErrorMessage="1" xr:uid="{2F130B82-989F-4476-B774-EA2CB438A227}">
          <x14:formula1>
            <xm:f>'Hide_me(drop_downs)'!$E$2:$E$4</xm:f>
          </x14:formula1>
          <xm:sqref>H56:I56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W74"/>
  <sheetViews>
    <sheetView workbookViewId="0">
      <pane ySplit="4" topLeftCell="A50" activePane="bottomLeft" state="frozenSplit"/>
      <selection activeCell="P23" sqref="P23 P23:Q23"/>
      <selection pane="bottomLeft" activeCell="N55" sqref="N55"/>
    </sheetView>
  </sheetViews>
  <sheetFormatPr defaultColWidth="9.1796875" defaultRowHeight="12.5" x14ac:dyDescent="0.25"/>
  <cols>
    <col min="1" max="1" width="10" style="84" bestFit="1" customWidth="1"/>
    <col min="2" max="2" width="2.1796875" style="27" customWidth="1"/>
    <col min="3" max="3" width="61.1796875" style="27" customWidth="1"/>
    <col min="4" max="4" width="51.453125" style="27" hidden="1" customWidth="1"/>
    <col min="5" max="6" width="1.453125" style="27" hidden="1" customWidth="1"/>
    <col min="7" max="7" width="0.453125" style="27" hidden="1" customWidth="1"/>
    <col min="8" max="8" width="15.1796875" style="27" customWidth="1"/>
    <col min="9" max="9" width="15.453125" style="27" customWidth="1"/>
    <col min="10" max="10" width="17.1796875" style="27" hidden="1" customWidth="1"/>
    <col min="11" max="12" width="16.1796875" style="27" hidden="1" customWidth="1"/>
    <col min="13" max="13" width="6.1796875" style="27" hidden="1" customWidth="1"/>
    <col min="14" max="14" width="79.1796875" style="27" customWidth="1"/>
    <col min="15" max="15" width="7" style="27" hidden="1" customWidth="1"/>
    <col min="16" max="18" width="8.54296875" style="27" hidden="1" customWidth="1"/>
    <col min="19" max="19" width="13.1796875" style="27" hidden="1" customWidth="1"/>
    <col min="20" max="20" width="8.54296875" style="27" hidden="1" customWidth="1"/>
    <col min="21" max="21" width="16.1796875" style="27" hidden="1" customWidth="1"/>
    <col min="22" max="22" width="30.1796875" style="27" hidden="1" customWidth="1"/>
    <col min="23" max="23" width="9.1796875" style="27" customWidth="1"/>
    <col min="24" max="16384" width="9.1796875" style="27"/>
  </cols>
  <sheetData>
    <row r="1" spans="1:23" customFormat="1" ht="56.25" customHeight="1" thickBot="1" x14ac:dyDescent="0.4">
      <c r="A1" s="343" t="s">
        <v>678</v>
      </c>
      <c r="B1" s="344" t="s">
        <v>679</v>
      </c>
      <c r="C1" s="344"/>
      <c r="D1" s="86"/>
      <c r="E1" s="345"/>
      <c r="F1" s="345"/>
      <c r="G1" s="345"/>
      <c r="H1" s="346"/>
      <c r="I1" s="277" t="s">
        <v>599</v>
      </c>
      <c r="J1" s="278" t="s">
        <v>599</v>
      </c>
      <c r="K1" s="25"/>
      <c r="L1" s="60"/>
      <c r="M1" s="60"/>
      <c r="N1" s="25"/>
      <c r="O1" s="25"/>
      <c r="P1" s="25"/>
      <c r="Q1" s="25"/>
      <c r="R1" s="25"/>
      <c r="S1" s="279" t="str">
        <f>Title_Page!H62</f>
        <v>FAIL</v>
      </c>
      <c r="T1" s="25"/>
      <c r="U1" s="279" t="str">
        <f>Title_Page!H63</f>
        <v>FAIL</v>
      </c>
      <c r="V1" s="25"/>
      <c r="W1" s="25"/>
    </row>
    <row r="2" spans="1:23" customFormat="1" ht="46.75" customHeight="1" x14ac:dyDescent="0.35">
      <c r="A2" s="280"/>
      <c r="B2" s="281" t="str">
        <f>'Hide_me(drop_downs)'!I3</f>
        <v>as at 31 July 2025</v>
      </c>
      <c r="C2" s="281"/>
      <c r="D2" s="87"/>
      <c r="E2" s="347"/>
      <c r="F2" s="347"/>
      <c r="G2" s="347"/>
      <c r="H2" s="348"/>
      <c r="I2" s="283" t="s">
        <v>600</v>
      </c>
      <c r="J2" s="283" t="s">
        <v>601</v>
      </c>
      <c r="K2" s="25"/>
      <c r="L2" s="61"/>
      <c r="M2" s="61"/>
      <c r="N2" s="143" t="str">
        <f>'Hide_me(drop_downs)'!I5</f>
        <v>Variance (2024/25 v. 2023/24 restated)</v>
      </c>
      <c r="O2" s="88"/>
      <c r="P2" s="89" t="s">
        <v>602</v>
      </c>
      <c r="Q2" s="64"/>
      <c r="R2" s="64"/>
      <c r="S2" s="65"/>
      <c r="T2" s="25"/>
      <c r="U2" s="27" t="s">
        <v>603</v>
      </c>
      <c r="V2" s="25"/>
      <c r="W2" s="25"/>
    </row>
    <row r="3" spans="1:23" customFormat="1" ht="37.5" customHeight="1" x14ac:dyDescent="0.35">
      <c r="A3" s="349"/>
      <c r="B3" s="350"/>
      <c r="C3" s="350"/>
      <c r="D3" s="350"/>
      <c r="E3" s="350"/>
      <c r="F3" s="350"/>
      <c r="G3" s="351"/>
      <c r="H3" s="287" t="str">
        <f>'Hide_me(drop_downs)'!I1</f>
        <v>Year ended 31 July 2025</v>
      </c>
      <c r="I3" s="288" t="str">
        <f>'Hide_me(drop_downs)'!J1</f>
        <v>Year ended 31 July 2024</v>
      </c>
      <c r="J3" s="288" t="str">
        <f>'Hide_me(drop_downs)'!J1</f>
        <v>Year ended 31 July 2024</v>
      </c>
      <c r="K3" s="61"/>
      <c r="L3" s="61"/>
      <c r="M3" s="61"/>
      <c r="N3" s="66" t="s">
        <v>604</v>
      </c>
      <c r="O3" s="66"/>
      <c r="P3" s="67"/>
      <c r="Q3" s="25"/>
      <c r="R3" s="25"/>
      <c r="S3" s="65"/>
      <c r="T3" s="25"/>
      <c r="U3" s="27" t="s">
        <v>605</v>
      </c>
      <c r="V3" s="36" t="s">
        <v>680</v>
      </c>
      <c r="W3" s="25"/>
    </row>
    <row r="4" spans="1:23" customFormat="1" ht="15.5" customHeight="1" thickBot="1" x14ac:dyDescent="0.4">
      <c r="A4" s="352"/>
      <c r="B4" s="353"/>
      <c r="C4" s="353"/>
      <c r="D4" s="353"/>
      <c r="E4" s="353"/>
      <c r="F4" s="353"/>
      <c r="G4" s="354"/>
      <c r="H4" s="288" t="s">
        <v>607</v>
      </c>
      <c r="I4" s="288" t="s">
        <v>607</v>
      </c>
      <c r="J4" s="355" t="s">
        <v>607</v>
      </c>
      <c r="K4" s="60" t="s">
        <v>607</v>
      </c>
      <c r="L4" s="60" t="s">
        <v>608</v>
      </c>
      <c r="M4" s="60"/>
      <c r="N4" s="8" t="s">
        <v>609</v>
      </c>
      <c r="O4" s="8"/>
      <c r="P4" s="68" t="s">
        <v>610</v>
      </c>
      <c r="Q4" s="25"/>
      <c r="R4" s="25"/>
      <c r="S4" s="65"/>
      <c r="T4" s="25"/>
      <c r="U4" s="68" t="s">
        <v>230</v>
      </c>
      <c r="V4" s="25"/>
      <c r="W4" s="25"/>
    </row>
    <row r="5" spans="1:23" customFormat="1" ht="15.75" customHeight="1" thickBot="1" x14ac:dyDescent="0.4">
      <c r="A5" s="294">
        <v>1</v>
      </c>
      <c r="B5" s="295" t="s">
        <v>681</v>
      </c>
      <c r="C5" s="296"/>
      <c r="D5" s="296"/>
      <c r="E5" s="296"/>
      <c r="F5" s="296"/>
      <c r="G5" s="297"/>
      <c r="H5" s="298"/>
      <c r="I5" s="298"/>
      <c r="J5" s="298"/>
      <c r="K5" s="69" t="s">
        <v>230</v>
      </c>
      <c r="L5" s="69" t="s">
        <v>230</v>
      </c>
      <c r="M5" s="69"/>
      <c r="N5" s="60" t="s">
        <v>612</v>
      </c>
      <c r="O5" s="60"/>
      <c r="P5" s="60"/>
      <c r="Q5" s="60"/>
      <c r="R5" s="60"/>
      <c r="S5" s="356" t="str">
        <f>IF(S1="FAIL","Head","")</f>
        <v>Head</v>
      </c>
      <c r="T5" s="60"/>
      <c r="U5" s="279" t="str">
        <f>IF(U1="FAIL","Head","")</f>
        <v>Head</v>
      </c>
      <c r="V5" s="25"/>
      <c r="W5" s="25"/>
    </row>
    <row r="6" spans="1:23" customFormat="1" ht="12.75" customHeight="1" thickBot="1" x14ac:dyDescent="0.4">
      <c r="A6" s="294" t="s">
        <v>613</v>
      </c>
      <c r="B6" s="357"/>
      <c r="C6" s="358" t="s">
        <v>682</v>
      </c>
      <c r="D6" s="358"/>
      <c r="E6" s="359"/>
      <c r="F6" s="359"/>
      <c r="G6" s="360"/>
      <c r="H6" s="306">
        <v>23852</v>
      </c>
      <c r="I6" s="306">
        <v>26400</v>
      </c>
      <c r="J6" s="361">
        <v>26400</v>
      </c>
      <c r="K6" s="41">
        <f t="shared" ref="K6:K16" si="0">H6-I6</f>
        <v>-2548</v>
      </c>
      <c r="L6" s="43">
        <f t="shared" ref="L6:L16" si="1">IF(AND(OR(H6=0,I6&lt;&gt;0),OR(I6=0,H6&lt;&gt;0)),IF((H6+I6+K6&lt;&gt;0),IF(AND(OR(H6&gt;0,I6&lt;0),OR(I6&gt;0,H6&lt;0)),ABS(K6/MIN(ABS(I6),ABS(H6))),10),"-"),10)</f>
        <v>0.10682542344457488</v>
      </c>
      <c r="M6" s="45"/>
      <c r="N6" s="90"/>
      <c r="O6" s="91"/>
      <c r="P6" s="27">
        <f>IF(AND(K6&gt;750,L6&gt;2),1,0)</f>
        <v>0</v>
      </c>
      <c r="Q6" s="27">
        <f>IF(AND(K6&lt;-750,L6&gt;2),1,0)</f>
        <v>0</v>
      </c>
      <c r="R6" s="27">
        <f>SUM(P6:Q6)</f>
        <v>0</v>
      </c>
      <c r="S6" s="75" t="str">
        <f>IF(R6&lt;&gt;0,A6&amp;" ("&amp;H6&amp;", "&amp;I6&amp;")"&amp;", ","")</f>
        <v/>
      </c>
      <c r="T6" s="25"/>
      <c r="U6" s="75" t="str">
        <f>IF(I6&lt;&gt;J6,A6&amp;" ("&amp;I6&amp;", "&amp;J6&amp;")"&amp;", ","")</f>
        <v/>
      </c>
      <c r="V6" s="25"/>
      <c r="W6" s="25"/>
    </row>
    <row r="7" spans="1:23" customFormat="1" ht="12.75" customHeight="1" thickBot="1" x14ac:dyDescent="0.4">
      <c r="A7" s="294" t="s">
        <v>615</v>
      </c>
      <c r="B7" s="357"/>
      <c r="C7" s="358" t="s">
        <v>683</v>
      </c>
      <c r="D7" s="358"/>
      <c r="E7" s="359"/>
      <c r="F7" s="359"/>
      <c r="G7" s="360"/>
      <c r="H7" s="306">
        <v>0</v>
      </c>
      <c r="I7" s="306">
        <v>0</v>
      </c>
      <c r="J7" s="361">
        <v>0</v>
      </c>
      <c r="K7" s="41">
        <f t="shared" si="0"/>
        <v>0</v>
      </c>
      <c r="L7" s="43" t="str">
        <f t="shared" si="1"/>
        <v>-</v>
      </c>
      <c r="M7" s="45"/>
      <c r="N7" s="90"/>
      <c r="O7" s="91"/>
      <c r="P7" s="27">
        <f>IF(AND(K7&gt;750,L7&gt;2),1,0)</f>
        <v>0</v>
      </c>
      <c r="Q7" s="27">
        <f>IF(AND(K7&lt;-750,L7&gt;2),1,0)</f>
        <v>0</v>
      </c>
      <c r="R7" s="27">
        <f>SUM(P7:Q7)</f>
        <v>0</v>
      </c>
      <c r="S7" s="75" t="str">
        <f>IF(R7&lt;&gt;0,A7&amp;" ("&amp;H7&amp;", "&amp;I7&amp;")"&amp;", ","")</f>
        <v/>
      </c>
      <c r="T7" s="25"/>
      <c r="U7" s="75" t="str">
        <f>IF(I7&lt;&gt;J7,A7&amp;" ("&amp;I7&amp;", "&amp;J7&amp;")"&amp;", ","")</f>
        <v/>
      </c>
      <c r="V7" s="25"/>
      <c r="W7" s="25"/>
    </row>
    <row r="8" spans="1:23" customFormat="1" ht="12.75" customHeight="1" thickBot="1" x14ac:dyDescent="0.4">
      <c r="A8" s="294" t="s">
        <v>617</v>
      </c>
      <c r="B8" s="357"/>
      <c r="C8" s="358" t="s">
        <v>684</v>
      </c>
      <c r="D8" s="358"/>
      <c r="E8" s="359"/>
      <c r="F8" s="359"/>
      <c r="G8" s="360"/>
      <c r="H8" s="306">
        <v>0</v>
      </c>
      <c r="I8" s="306">
        <v>0</v>
      </c>
      <c r="J8" s="361">
        <v>0</v>
      </c>
      <c r="K8" s="41">
        <f t="shared" si="0"/>
        <v>0</v>
      </c>
      <c r="L8" s="43" t="str">
        <f t="shared" si="1"/>
        <v>-</v>
      </c>
      <c r="M8" s="45"/>
      <c r="N8" s="90"/>
      <c r="O8" s="91"/>
      <c r="P8" s="27">
        <f>IF(AND(K8&gt;750,L8&gt;2),1,0)</f>
        <v>0</v>
      </c>
      <c r="Q8" s="27">
        <f>IF(AND(K8&lt;-750,L8&gt;2),1,0)</f>
        <v>0</v>
      </c>
      <c r="R8" s="27">
        <f>SUM(P8:Q8)</f>
        <v>0</v>
      </c>
      <c r="S8" s="75" t="str">
        <f>IF(R8&lt;&gt;0,A8&amp;" ("&amp;H8&amp;", "&amp;I8&amp;")"&amp;", ","")</f>
        <v/>
      </c>
      <c r="T8" s="25"/>
      <c r="U8" s="75" t="str">
        <f>IF(I8&lt;&gt;J8,A8&amp;" ("&amp;I8&amp;", "&amp;J8&amp;")"&amp;", ","")</f>
        <v/>
      </c>
      <c r="V8" s="25"/>
      <c r="W8" s="25"/>
    </row>
    <row r="9" spans="1:23" customFormat="1" ht="12.75" customHeight="1" thickBot="1" x14ac:dyDescent="0.4">
      <c r="A9" s="294" t="s">
        <v>619</v>
      </c>
      <c r="B9" s="362"/>
      <c r="C9" s="363" t="s">
        <v>685</v>
      </c>
      <c r="D9" s="364"/>
      <c r="E9" s="364"/>
      <c r="F9" s="364"/>
      <c r="G9" s="365"/>
      <c r="H9" s="310">
        <f>SUM(H7:H8)</f>
        <v>0</v>
      </c>
      <c r="I9" s="310">
        <f>SUM(I7:I8)</f>
        <v>0</v>
      </c>
      <c r="J9" s="310">
        <f>SUM(J7:J8)</f>
        <v>0</v>
      </c>
      <c r="K9" s="83">
        <f t="shared" si="0"/>
        <v>0</v>
      </c>
      <c r="L9" s="45" t="str">
        <f t="shared" si="1"/>
        <v>-</v>
      </c>
      <c r="M9" s="45"/>
      <c r="N9" s="92"/>
      <c r="O9" s="92"/>
      <c r="P9" s="92"/>
      <c r="Q9" s="92"/>
      <c r="R9" s="92"/>
      <c r="S9" s="92"/>
      <c r="T9" s="92"/>
      <c r="U9" s="25"/>
      <c r="V9" s="25"/>
      <c r="W9" s="25"/>
    </row>
    <row r="10" spans="1:23" customFormat="1" ht="12.75" customHeight="1" thickBot="1" x14ac:dyDescent="0.4">
      <c r="A10" s="294" t="s">
        <v>621</v>
      </c>
      <c r="B10" s="357"/>
      <c r="C10" s="358" t="s">
        <v>686</v>
      </c>
      <c r="D10" s="358"/>
      <c r="E10" s="359"/>
      <c r="F10" s="359"/>
      <c r="G10" s="360"/>
      <c r="H10" s="306">
        <v>2249847</v>
      </c>
      <c r="I10" s="306">
        <v>2151322</v>
      </c>
      <c r="J10" s="361">
        <v>2151322</v>
      </c>
      <c r="K10" s="41">
        <f t="shared" si="0"/>
        <v>98525</v>
      </c>
      <c r="L10" s="43">
        <f t="shared" si="1"/>
        <v>4.5797421306526871E-2</v>
      </c>
      <c r="M10" s="45"/>
      <c r="N10" s="90"/>
      <c r="O10" s="91"/>
      <c r="P10" s="27">
        <f>IF(AND(K10&gt;750,L10&gt;2),1,0)</f>
        <v>0</v>
      </c>
      <c r="Q10" s="27">
        <f>IF(AND(K10&lt;-750,L10&gt;2),1,0)</f>
        <v>0</v>
      </c>
      <c r="R10" s="27">
        <f>SUM(P10:Q10)</f>
        <v>0</v>
      </c>
      <c r="S10" s="75" t="str">
        <f>IF(R10&lt;&gt;0,A10&amp;" ("&amp;H10&amp;", "&amp;I10&amp;")"&amp;", ","")</f>
        <v/>
      </c>
      <c r="T10" s="25"/>
      <c r="U10" s="75" t="str">
        <f>IF(I10&lt;&gt;J10,A10&amp;" ("&amp;I10&amp;", "&amp;J10&amp;")"&amp;", ","")</f>
        <v/>
      </c>
      <c r="V10" s="25"/>
      <c r="W10" s="25"/>
    </row>
    <row r="11" spans="1:23" customFormat="1" ht="12.75" customHeight="1" thickBot="1" x14ac:dyDescent="0.4">
      <c r="A11" s="294" t="s">
        <v>623</v>
      </c>
      <c r="B11" s="357"/>
      <c r="C11" s="358" t="s">
        <v>687</v>
      </c>
      <c r="D11" s="358"/>
      <c r="E11" s="359"/>
      <c r="F11" s="359"/>
      <c r="G11" s="360"/>
      <c r="H11" s="306">
        <v>218114</v>
      </c>
      <c r="I11" s="306">
        <v>217500</v>
      </c>
      <c r="J11" s="361">
        <v>217500</v>
      </c>
      <c r="K11" s="41">
        <f t="shared" si="0"/>
        <v>614</v>
      </c>
      <c r="L11" s="43">
        <f t="shared" si="1"/>
        <v>2.8229885057471263E-3</v>
      </c>
      <c r="M11" s="45"/>
      <c r="N11" s="90"/>
      <c r="O11" s="91"/>
      <c r="P11" s="27">
        <f>IF(AND(K11&gt;750,L11&gt;2),1,0)</f>
        <v>0</v>
      </c>
      <c r="Q11" s="27">
        <f>IF(AND(K11&lt;-750,L11&gt;2),1,0)</f>
        <v>0</v>
      </c>
      <c r="R11" s="27">
        <f>SUM(P11:Q11)</f>
        <v>0</v>
      </c>
      <c r="S11" s="75" t="str">
        <f>IF(R11&lt;&gt;0,A11&amp;" ("&amp;H11&amp;", "&amp;I11&amp;")"&amp;", ","")</f>
        <v/>
      </c>
      <c r="T11" s="25"/>
      <c r="U11" s="75" t="str">
        <f>IF(I11&lt;&gt;J11,A11&amp;" ("&amp;I11&amp;", "&amp;J11&amp;")"&amp;", ","")</f>
        <v/>
      </c>
      <c r="V11" s="25"/>
      <c r="W11" s="25"/>
    </row>
    <row r="12" spans="1:23" customFormat="1" ht="12.75" customHeight="1" thickBot="1" x14ac:dyDescent="0.4">
      <c r="A12" s="294" t="s">
        <v>625</v>
      </c>
      <c r="B12" s="357"/>
      <c r="C12" s="358" t="s">
        <v>688</v>
      </c>
      <c r="D12" s="358"/>
      <c r="E12" s="359"/>
      <c r="F12" s="359"/>
      <c r="G12" s="360"/>
      <c r="H12" s="306">
        <v>951721</v>
      </c>
      <c r="I12" s="306">
        <v>969500</v>
      </c>
      <c r="J12" s="361">
        <v>969500</v>
      </c>
      <c r="K12" s="41">
        <f t="shared" si="0"/>
        <v>-17779</v>
      </c>
      <c r="L12" s="43">
        <f t="shared" si="1"/>
        <v>1.8680894926139068E-2</v>
      </c>
      <c r="M12" s="45"/>
      <c r="N12" s="90"/>
      <c r="O12" s="91"/>
      <c r="P12" s="27">
        <f>IF(AND(K12&gt;750,L12&gt;2),1,0)</f>
        <v>0</v>
      </c>
      <c r="Q12" s="27">
        <f>IF(AND(K12&lt;-750,L12&gt;2),1,0)</f>
        <v>0</v>
      </c>
      <c r="R12" s="27">
        <f>SUM(P12:Q12)</f>
        <v>0</v>
      </c>
      <c r="S12" s="75" t="str">
        <f>IF(R12&lt;&gt;0,A12&amp;" ("&amp;H12&amp;", "&amp;I12&amp;")"&amp;", ","")</f>
        <v/>
      </c>
      <c r="T12" s="25"/>
      <c r="U12" s="75" t="str">
        <f>IF(I12&lt;&gt;J12,A12&amp;" ("&amp;I12&amp;", "&amp;J12&amp;")"&amp;", ","")</f>
        <v/>
      </c>
      <c r="V12" s="25"/>
      <c r="W12" s="25"/>
    </row>
    <row r="13" spans="1:23" customFormat="1" ht="12.75" customHeight="1" thickBot="1" x14ac:dyDescent="0.4">
      <c r="A13" s="294" t="s">
        <v>689</v>
      </c>
      <c r="B13" s="357"/>
      <c r="C13" s="358" t="s">
        <v>690</v>
      </c>
      <c r="D13" s="358"/>
      <c r="E13" s="359"/>
      <c r="F13" s="359"/>
      <c r="G13" s="360"/>
      <c r="H13" s="306">
        <v>0</v>
      </c>
      <c r="I13" s="306">
        <v>0</v>
      </c>
      <c r="J13" s="366">
        <v>0</v>
      </c>
      <c r="K13" s="45">
        <f t="shared" si="0"/>
        <v>0</v>
      </c>
      <c r="L13" s="45" t="str">
        <f t="shared" si="1"/>
        <v>-</v>
      </c>
      <c r="M13" s="45"/>
      <c r="N13" s="25"/>
      <c r="O13" s="25"/>
      <c r="P13" s="25"/>
      <c r="Q13" s="25"/>
      <c r="R13" s="25"/>
      <c r="S13" s="25"/>
      <c r="T13" s="25"/>
      <c r="U13" s="25"/>
      <c r="V13" s="25"/>
      <c r="W13" s="25"/>
    </row>
    <row r="14" spans="1:23" customFormat="1" ht="12.75" customHeight="1" thickBot="1" x14ac:dyDescent="0.4">
      <c r="A14" s="294" t="s">
        <v>691</v>
      </c>
      <c r="B14" s="357"/>
      <c r="C14" s="358" t="s">
        <v>692</v>
      </c>
      <c r="D14" s="358"/>
      <c r="E14" s="359"/>
      <c r="F14" s="359"/>
      <c r="G14" s="360"/>
      <c r="H14" s="306">
        <v>0</v>
      </c>
      <c r="I14" s="306">
        <v>0</v>
      </c>
      <c r="J14" s="361">
        <v>0</v>
      </c>
      <c r="K14" s="41">
        <f t="shared" si="0"/>
        <v>0</v>
      </c>
      <c r="L14" s="43" t="str">
        <f t="shared" si="1"/>
        <v>-</v>
      </c>
      <c r="M14" s="45"/>
      <c r="N14" s="90"/>
      <c r="O14" s="91"/>
      <c r="P14" s="27">
        <f>IF(AND(K14&gt;750,L14&gt;2),1,0)</f>
        <v>0</v>
      </c>
      <c r="Q14" s="27">
        <f>IF(AND(K14&lt;-750,L14&gt;2),1,0)</f>
        <v>0</v>
      </c>
      <c r="R14" s="27">
        <f>SUM(P14:Q14)</f>
        <v>0</v>
      </c>
      <c r="S14" s="75" t="str">
        <f>IF(R14&lt;&gt;0,A14&amp;" ("&amp;H14&amp;", "&amp;I14&amp;")"&amp;", ","")</f>
        <v/>
      </c>
      <c r="T14" s="25"/>
      <c r="U14" s="75" t="str">
        <f>IF(I14&lt;&gt;J14,A14&amp;" ("&amp;I14&amp;", "&amp;J14&amp;")"&amp;", ","")</f>
        <v/>
      </c>
      <c r="V14" s="25"/>
      <c r="W14" s="25"/>
    </row>
    <row r="15" spans="1:23" customFormat="1" ht="12.75" customHeight="1" thickBot="1" x14ac:dyDescent="0.4">
      <c r="A15" s="294" t="s">
        <v>693</v>
      </c>
      <c r="B15" s="357"/>
      <c r="C15" s="358" t="s">
        <v>694</v>
      </c>
      <c r="D15" s="358"/>
      <c r="E15" s="359"/>
      <c r="F15" s="359"/>
      <c r="G15" s="360"/>
      <c r="H15" s="306">
        <v>0</v>
      </c>
      <c r="I15" s="306">
        <v>0</v>
      </c>
      <c r="J15" s="361">
        <v>0</v>
      </c>
      <c r="K15" s="41">
        <f t="shared" si="0"/>
        <v>0</v>
      </c>
      <c r="L15" s="43" t="str">
        <f t="shared" si="1"/>
        <v>-</v>
      </c>
      <c r="M15" s="45"/>
      <c r="N15" s="90"/>
      <c r="O15" s="91"/>
      <c r="P15" s="27">
        <f>IF(AND(K15&gt;750,L15&gt;2),1,0)</f>
        <v>0</v>
      </c>
      <c r="Q15" s="27">
        <f>IF(AND(K15&lt;-750,L15&gt;2),1,0)</f>
        <v>0</v>
      </c>
      <c r="R15" s="27">
        <f>SUM(P15:Q15)</f>
        <v>0</v>
      </c>
      <c r="S15" s="75" t="str">
        <f>IF(R15&lt;&gt;0,A15&amp;" ("&amp;H15&amp;", "&amp;I15&amp;")"&amp;", ","")</f>
        <v/>
      </c>
      <c r="T15" s="25"/>
      <c r="U15" s="75" t="str">
        <f>IF(I15&lt;&gt;J15,A15&amp;" ("&amp;I15&amp;", "&amp;J15&amp;")"&amp;", ","")</f>
        <v/>
      </c>
      <c r="V15" s="25"/>
      <c r="W15" s="25"/>
    </row>
    <row r="16" spans="1:23" customFormat="1" ht="12.75" customHeight="1" x14ac:dyDescent="0.35">
      <c r="A16" s="294" t="s">
        <v>695</v>
      </c>
      <c r="B16" s="307" t="s">
        <v>696</v>
      </c>
      <c r="C16" s="337"/>
      <c r="D16" s="337"/>
      <c r="E16" s="337"/>
      <c r="F16" s="337"/>
      <c r="G16" s="338"/>
      <c r="H16" s="310">
        <f>SUM(H6:H8)+SUM(H10:H15)</f>
        <v>3443534</v>
      </c>
      <c r="I16" s="310">
        <f>SUM(I6:I8)+SUM(I10:I15)</f>
        <v>3364722</v>
      </c>
      <c r="J16" s="323">
        <f>SUM(J6:J8)+SUM(J10:J15)</f>
        <v>3364722</v>
      </c>
      <c r="K16" s="45">
        <f t="shared" si="0"/>
        <v>78812</v>
      </c>
      <c r="L16" s="45">
        <f t="shared" si="1"/>
        <v>2.3423034651896948E-2</v>
      </c>
      <c r="M16" s="45"/>
      <c r="N16" s="92"/>
      <c r="O16" s="92"/>
      <c r="P16" s="92"/>
      <c r="Q16" s="92"/>
      <c r="R16" s="92"/>
      <c r="S16" s="92"/>
      <c r="T16" s="92"/>
      <c r="U16" s="25"/>
      <c r="V16" s="25"/>
      <c r="W16" s="25"/>
    </row>
    <row r="17" spans="1:23" customFormat="1" ht="12.75" customHeight="1" x14ac:dyDescent="0.35">
      <c r="A17" s="294"/>
      <c r="B17" s="324"/>
      <c r="C17" s="325"/>
      <c r="D17" s="325"/>
      <c r="E17" s="325"/>
      <c r="F17" s="325"/>
      <c r="G17" s="326"/>
      <c r="H17" s="314"/>
      <c r="I17" s="314"/>
      <c r="J17" s="314"/>
      <c r="K17" s="45"/>
      <c r="L17" s="45"/>
      <c r="M17" s="45"/>
      <c r="N17" s="25"/>
      <c r="O17" s="25"/>
      <c r="P17" s="25"/>
      <c r="Q17" s="25"/>
      <c r="R17" s="25"/>
      <c r="S17" s="25"/>
      <c r="T17" s="25"/>
      <c r="U17" s="25"/>
      <c r="V17" s="25"/>
      <c r="W17" s="25"/>
    </row>
    <row r="18" spans="1:23" customFormat="1" ht="12.75" customHeight="1" thickBot="1" x14ac:dyDescent="0.4">
      <c r="A18" s="294">
        <v>2</v>
      </c>
      <c r="B18" s="295" t="s">
        <v>697</v>
      </c>
      <c r="C18" s="296"/>
      <c r="D18" s="296"/>
      <c r="E18" s="296"/>
      <c r="F18" s="296"/>
      <c r="G18" s="297"/>
      <c r="H18" s="315"/>
      <c r="I18" s="315"/>
      <c r="J18" s="315"/>
      <c r="K18" s="45"/>
      <c r="L18" s="45"/>
      <c r="M18" s="45"/>
      <c r="N18" s="25"/>
      <c r="O18" s="25"/>
      <c r="P18" s="25"/>
      <c r="Q18" s="25"/>
      <c r="R18" s="25"/>
      <c r="S18" s="25"/>
      <c r="T18" s="25"/>
      <c r="U18" s="25"/>
      <c r="V18" s="25"/>
      <c r="W18" s="25"/>
    </row>
    <row r="19" spans="1:23" customFormat="1" ht="12.75" customHeight="1" thickBot="1" x14ac:dyDescent="0.4">
      <c r="A19" s="294" t="s">
        <v>628</v>
      </c>
      <c r="B19" s="300"/>
      <c r="C19" s="301" t="s">
        <v>698</v>
      </c>
      <c r="D19" s="302"/>
      <c r="E19" s="302"/>
      <c r="F19" s="302"/>
      <c r="G19" s="303"/>
      <c r="H19" s="306">
        <v>4333</v>
      </c>
      <c r="I19" s="306">
        <v>4594</v>
      </c>
      <c r="J19" s="305">
        <v>4594</v>
      </c>
      <c r="K19" s="41">
        <f t="shared" ref="K19:K26" si="2">H19-I19</f>
        <v>-261</v>
      </c>
      <c r="L19" s="43">
        <f t="shared" ref="L19:L26" si="3">IF(AND(OR(H19=0,I19&lt;&gt;0),OR(I19=0,H19&lt;&gt;0)),IF((H19+I19+K19&lt;&gt;0),IF(AND(OR(H19&gt;0,I19&lt;0),OR(I19&gt;0,H19&lt;0)),ABS(K19/MIN(ABS(I19),ABS(H19))),10),"-"),10)</f>
        <v>6.0235402723286403E-2</v>
      </c>
      <c r="M19" s="45"/>
      <c r="N19" s="90"/>
      <c r="O19" s="91"/>
      <c r="P19" s="27">
        <f>IF(AND(K19&gt;750,L19&gt;2),1,0)</f>
        <v>0</v>
      </c>
      <c r="Q19" s="27">
        <f>IF(AND(K19&lt;-750,L19&gt;2),1,0)</f>
        <v>0</v>
      </c>
      <c r="R19" s="27">
        <f>SUM(P19:Q19)</f>
        <v>0</v>
      </c>
      <c r="S19" s="75" t="str">
        <f>IF(R19&lt;&gt;0,A19&amp;" ("&amp;H19&amp;", "&amp;I19&amp;")"&amp;", ","")</f>
        <v/>
      </c>
      <c r="T19" s="25"/>
      <c r="U19" s="75" t="str">
        <f>IF(I19&lt;&gt;J19,A19&amp;" ("&amp;I19&amp;", "&amp;J19&amp;")"&amp;", ","")</f>
        <v/>
      </c>
      <c r="V19" s="25"/>
      <c r="W19" s="25"/>
    </row>
    <row r="20" spans="1:23" customFormat="1" ht="12.75" customHeight="1" thickBot="1" x14ac:dyDescent="0.4">
      <c r="A20" s="294" t="s">
        <v>630</v>
      </c>
      <c r="B20" s="300"/>
      <c r="C20" s="301" t="s">
        <v>699</v>
      </c>
      <c r="D20" s="302"/>
      <c r="E20" s="302"/>
      <c r="F20" s="302"/>
      <c r="G20" s="303"/>
      <c r="H20" s="306">
        <v>321102</v>
      </c>
      <c r="I20" s="306">
        <v>330900</v>
      </c>
      <c r="J20" s="305">
        <v>302900</v>
      </c>
      <c r="K20" s="41">
        <f t="shared" si="2"/>
        <v>-9798</v>
      </c>
      <c r="L20" s="43">
        <f t="shared" si="3"/>
        <v>3.0513668553917447E-2</v>
      </c>
      <c r="M20" s="45"/>
      <c r="N20" s="90"/>
      <c r="O20" s="91"/>
      <c r="P20" s="27">
        <f>IF(AND(K20&gt;750,L20&gt;2),1,0)</f>
        <v>0</v>
      </c>
      <c r="Q20" s="27">
        <f>IF(AND(K20&lt;-750,L20&gt;2),1,0)</f>
        <v>0</v>
      </c>
      <c r="R20" s="27">
        <f>SUM(P20:Q20)</f>
        <v>0</v>
      </c>
      <c r="S20" s="75" t="str">
        <f>IF(R20&lt;&gt;0,A20&amp;" ("&amp;H20&amp;", "&amp;I20&amp;")"&amp;", ","")</f>
        <v/>
      </c>
      <c r="T20" s="25"/>
      <c r="U20" s="75" t="str">
        <f>IF(I20&lt;&gt;J20,A20&amp;" ("&amp;I20&amp;", "&amp;J20&amp;")"&amp;", ","")</f>
        <v xml:space="preserve">2b (330900, 302900), </v>
      </c>
      <c r="V20" s="25"/>
      <c r="W20" s="25"/>
    </row>
    <row r="21" spans="1:23" customFormat="1" ht="12.75" customHeight="1" thickBot="1" x14ac:dyDescent="0.4">
      <c r="A21" s="294" t="s">
        <v>632</v>
      </c>
      <c r="B21" s="300"/>
      <c r="C21" s="301" t="s">
        <v>688</v>
      </c>
      <c r="D21" s="302"/>
      <c r="E21" s="302"/>
      <c r="F21" s="302"/>
      <c r="G21" s="303"/>
      <c r="H21" s="11">
        <f>IF(Title_Page!B4="S",Table_2_Scotland!H12,0)</f>
        <v>139000</v>
      </c>
      <c r="I21" s="306">
        <v>139000</v>
      </c>
      <c r="J21" s="305">
        <v>139000</v>
      </c>
      <c r="K21" s="41">
        <f t="shared" si="2"/>
        <v>0</v>
      </c>
      <c r="L21" s="43">
        <f t="shared" si="3"/>
        <v>0</v>
      </c>
      <c r="M21" s="45"/>
      <c r="N21" s="90"/>
      <c r="O21" s="91"/>
      <c r="P21" s="27">
        <f>IF(AND(K21&gt;750,L21&gt;2),1,0)</f>
        <v>0</v>
      </c>
      <c r="Q21" s="27">
        <f>IF(AND(K21&lt;-750,L21&gt;2),1,0)</f>
        <v>0</v>
      </c>
      <c r="R21" s="27">
        <f>SUM(P21:Q21)</f>
        <v>0</v>
      </c>
      <c r="S21" s="75" t="str">
        <f>IF(R21&lt;&gt;0,A21&amp;" ("&amp;H21&amp;", "&amp;I21&amp;")"&amp;", ","")</f>
        <v/>
      </c>
      <c r="T21" s="25"/>
      <c r="U21" s="75" t="str">
        <f>IF(I21&lt;&gt;J21,A21&amp;" ("&amp;I21&amp;", "&amp;J21&amp;")"&amp;", ","")</f>
        <v/>
      </c>
      <c r="V21" s="25"/>
      <c r="W21" s="25"/>
    </row>
    <row r="22" spans="1:23" customFormat="1" ht="12.75" customHeight="1" x14ac:dyDescent="0.35">
      <c r="A22" s="294" t="s">
        <v>634</v>
      </c>
      <c r="B22" s="300"/>
      <c r="C22" s="301" t="s">
        <v>700</v>
      </c>
      <c r="D22" s="302"/>
      <c r="E22" s="302"/>
      <c r="F22" s="302"/>
      <c r="G22" s="303"/>
      <c r="H22" s="11">
        <v>216998</v>
      </c>
      <c r="I22" s="11">
        <v>240086</v>
      </c>
      <c r="J22" s="11">
        <v>240086</v>
      </c>
      <c r="K22" s="45">
        <f t="shared" si="2"/>
        <v>-23088</v>
      </c>
      <c r="L22" s="45">
        <f t="shared" si="3"/>
        <v>0.10639729398427636</v>
      </c>
      <c r="M22" s="45"/>
      <c r="N22" s="93"/>
      <c r="O22" s="92"/>
      <c r="P22" s="92"/>
      <c r="Q22" s="92"/>
      <c r="R22" s="92"/>
      <c r="S22" s="92"/>
      <c r="T22" s="92"/>
      <c r="U22" s="25"/>
      <c r="V22" s="25"/>
      <c r="W22" s="25"/>
    </row>
    <row r="23" spans="1:23" customFormat="1" ht="12.75" customHeight="1" thickBot="1" x14ac:dyDescent="0.4">
      <c r="A23" s="294" t="s">
        <v>636</v>
      </c>
      <c r="B23" s="300"/>
      <c r="C23" s="301" t="s">
        <v>701</v>
      </c>
      <c r="D23" s="367"/>
      <c r="E23" s="367"/>
      <c r="F23" s="367"/>
      <c r="G23" s="368"/>
      <c r="H23" s="11">
        <v>0</v>
      </c>
      <c r="I23" s="11">
        <v>0</v>
      </c>
      <c r="J23" s="94">
        <v>0</v>
      </c>
      <c r="K23" s="45">
        <f t="shared" si="2"/>
        <v>0</v>
      </c>
      <c r="L23" s="45" t="str">
        <f t="shared" si="3"/>
        <v>-</v>
      </c>
      <c r="M23" s="45"/>
      <c r="N23" s="95"/>
      <c r="O23" s="92"/>
      <c r="P23" s="92"/>
      <c r="Q23" s="92"/>
      <c r="R23" s="92"/>
      <c r="S23" s="92"/>
      <c r="T23" s="92"/>
      <c r="U23" s="25"/>
      <c r="V23" s="25"/>
      <c r="W23" s="25"/>
    </row>
    <row r="24" spans="1:23" customFormat="1" ht="12.75" customHeight="1" thickBot="1" x14ac:dyDescent="0.4">
      <c r="A24" s="294" t="s">
        <v>638</v>
      </c>
      <c r="B24" s="300"/>
      <c r="C24" s="301" t="s">
        <v>702</v>
      </c>
      <c r="D24" s="302"/>
      <c r="E24" s="302"/>
      <c r="F24" s="302"/>
      <c r="G24" s="303"/>
      <c r="H24" s="306">
        <v>0</v>
      </c>
      <c r="I24" s="306">
        <v>0</v>
      </c>
      <c r="J24" s="305">
        <v>0</v>
      </c>
      <c r="K24" s="41">
        <f t="shared" si="2"/>
        <v>0</v>
      </c>
      <c r="L24" s="43" t="str">
        <f t="shared" si="3"/>
        <v>-</v>
      </c>
      <c r="M24" s="45"/>
      <c r="N24" s="90"/>
      <c r="O24" s="91"/>
      <c r="P24" s="27">
        <f>IF(AND(K24&gt;750,L24&gt;2),1,0)</f>
        <v>0</v>
      </c>
      <c r="Q24" s="27">
        <f>IF(AND(K24&lt;-750,L24&gt;2),1,0)</f>
        <v>0</v>
      </c>
      <c r="R24" s="27">
        <f>SUM(P24:Q24)</f>
        <v>0</v>
      </c>
      <c r="S24" s="75" t="str">
        <f>IF(R24&lt;&gt;0,A24&amp;" ("&amp;H24&amp;", "&amp;I24&amp;")"&amp;", ","")</f>
        <v/>
      </c>
      <c r="T24" s="25"/>
      <c r="U24" s="75" t="str">
        <f>IF(I24&lt;&gt;J24,A24&amp;" ("&amp;I24&amp;", "&amp;J24&amp;")"&amp;", ","")</f>
        <v/>
      </c>
      <c r="V24" s="25"/>
      <c r="W24" s="25"/>
    </row>
    <row r="25" spans="1:23" customFormat="1" ht="12.75" customHeight="1" thickBot="1" x14ac:dyDescent="0.4">
      <c r="A25" s="294" t="s">
        <v>703</v>
      </c>
      <c r="B25" s="300"/>
      <c r="C25" s="301" t="s">
        <v>704</v>
      </c>
      <c r="D25" s="302"/>
      <c r="E25" s="302"/>
      <c r="F25" s="302"/>
      <c r="G25" s="303"/>
      <c r="H25" s="306">
        <v>21425</v>
      </c>
      <c r="I25" s="306">
        <v>0</v>
      </c>
      <c r="J25" s="305">
        <v>0</v>
      </c>
      <c r="K25" s="41">
        <f t="shared" si="2"/>
        <v>21425</v>
      </c>
      <c r="L25" s="43">
        <f t="shared" si="3"/>
        <v>10</v>
      </c>
      <c r="M25" s="45"/>
      <c r="N25" s="90" t="s">
        <v>106</v>
      </c>
      <c r="O25" s="91"/>
      <c r="P25" s="27">
        <f>IF(AND(K25&gt;750,L25&gt;2),1,0)</f>
        <v>1</v>
      </c>
      <c r="Q25" s="27">
        <f>IF(AND(K25&lt;-750,L25&gt;2),1,0)</f>
        <v>0</v>
      </c>
      <c r="R25" s="27">
        <f>SUM(P25:Q25)</f>
        <v>1</v>
      </c>
      <c r="S25" s="75" t="str">
        <f>IF(R25&lt;&gt;0,A25&amp;" ("&amp;H25&amp;", "&amp;I25&amp;")"&amp;", ","")</f>
        <v xml:space="preserve">2g (21425, 0), </v>
      </c>
      <c r="T25" s="25"/>
      <c r="U25" s="75" t="str">
        <f>IF(I25&lt;&gt;J25,A25&amp;" ("&amp;I25&amp;", "&amp;J25&amp;")"&amp;", ","")</f>
        <v/>
      </c>
      <c r="V25" s="25"/>
      <c r="W25" s="25"/>
    </row>
    <row r="26" spans="1:23" customFormat="1" ht="12.75" customHeight="1" x14ac:dyDescent="0.35">
      <c r="A26" s="294" t="s">
        <v>705</v>
      </c>
      <c r="B26" s="307" t="s">
        <v>706</v>
      </c>
      <c r="C26" s="337"/>
      <c r="D26" s="337"/>
      <c r="E26" s="337"/>
      <c r="F26" s="337"/>
      <c r="G26" s="338"/>
      <c r="H26" s="310">
        <f>SUM(H19:H25)</f>
        <v>702858</v>
      </c>
      <c r="I26" s="310">
        <f>SUM(I19:I25)</f>
        <v>714580</v>
      </c>
      <c r="J26" s="323">
        <f>SUM(J19:J25)</f>
        <v>686580</v>
      </c>
      <c r="K26" s="45">
        <f t="shared" si="2"/>
        <v>-11722</v>
      </c>
      <c r="L26" s="45">
        <f t="shared" si="3"/>
        <v>1.6677621937859426E-2</v>
      </c>
      <c r="M26" s="45"/>
      <c r="N26" s="92"/>
      <c r="O26" s="92"/>
      <c r="P26" s="92"/>
      <c r="Q26" s="92"/>
      <c r="R26" s="92"/>
      <c r="S26" s="92"/>
      <c r="T26" s="92"/>
      <c r="U26" s="25"/>
      <c r="V26" s="25"/>
      <c r="W26" s="25"/>
    </row>
    <row r="27" spans="1:23" customFormat="1" ht="12.75" customHeight="1" x14ac:dyDescent="0.35">
      <c r="A27" s="294"/>
      <c r="B27" s="311"/>
      <c r="C27" s="312"/>
      <c r="D27" s="312"/>
      <c r="E27" s="312"/>
      <c r="F27" s="312"/>
      <c r="G27" s="313"/>
      <c r="H27" s="314"/>
      <c r="I27" s="314"/>
      <c r="J27" s="314"/>
      <c r="K27" s="45"/>
      <c r="L27" s="45"/>
      <c r="M27" s="45"/>
      <c r="N27" s="25"/>
      <c r="O27" s="25"/>
      <c r="P27" s="25"/>
      <c r="Q27" s="25"/>
      <c r="R27" s="25"/>
      <c r="S27" s="25"/>
      <c r="T27" s="25"/>
      <c r="U27" s="25"/>
      <c r="V27" s="25"/>
      <c r="W27" s="25"/>
    </row>
    <row r="28" spans="1:23" customFormat="1" ht="12.75" customHeight="1" thickBot="1" x14ac:dyDescent="0.4">
      <c r="A28" s="294">
        <v>3</v>
      </c>
      <c r="B28" s="295" t="s">
        <v>707</v>
      </c>
      <c r="C28" s="369"/>
      <c r="D28" s="369"/>
      <c r="E28" s="369"/>
      <c r="F28" s="369"/>
      <c r="G28" s="370"/>
      <c r="H28" s="315"/>
      <c r="I28" s="315"/>
      <c r="J28" s="315"/>
      <c r="K28" s="45"/>
      <c r="L28" s="45"/>
      <c r="M28" s="45"/>
      <c r="N28" s="25"/>
      <c r="O28" s="25"/>
      <c r="P28" s="25"/>
      <c r="Q28" s="25"/>
      <c r="R28" s="25"/>
      <c r="S28" s="25"/>
      <c r="T28" s="25"/>
      <c r="U28" s="25"/>
      <c r="V28" s="25"/>
      <c r="W28" s="25"/>
    </row>
    <row r="29" spans="1:23" customFormat="1" ht="12.75" customHeight="1" thickBot="1" x14ac:dyDescent="0.4">
      <c r="A29" s="294" t="s">
        <v>123</v>
      </c>
      <c r="B29" s="300"/>
      <c r="C29" s="301" t="s">
        <v>708</v>
      </c>
      <c r="D29" s="301"/>
      <c r="E29" s="302"/>
      <c r="F29" s="302"/>
      <c r="G29" s="303"/>
      <c r="H29" s="11">
        <v>0</v>
      </c>
      <c r="I29" s="11">
        <v>0</v>
      </c>
      <c r="J29" s="96">
        <v>0</v>
      </c>
      <c r="K29" s="41">
        <f t="shared" ref="K29:K37" si="4">H29-I29</f>
        <v>0</v>
      </c>
      <c r="L29" s="43" t="str">
        <f t="shared" ref="L29:L37" si="5">IF(AND(OR(H29=0,I29&lt;&gt;0),OR(I29=0,H29&lt;&gt;0)),IF((H29+I29+K29&lt;&gt;0),IF(AND(OR(H29&gt;0,I29&lt;0),OR(I29&gt;0,H29&lt;0)),ABS(K29/MIN(ABS(I29),ABS(H29))),10),"-"),10)</f>
        <v>-</v>
      </c>
      <c r="M29" s="45"/>
      <c r="N29" s="90"/>
      <c r="O29" s="91"/>
      <c r="P29" s="27">
        <f>IF(AND(K29&gt;750,L29&gt;2),1,0)</f>
        <v>0</v>
      </c>
      <c r="Q29" s="27">
        <f>IF(AND(K29&lt;-750,L29&gt;2),1,0)</f>
        <v>0</v>
      </c>
      <c r="R29" s="27">
        <f>SUM(P29:Q29)</f>
        <v>0</v>
      </c>
      <c r="S29" s="75" t="str">
        <f>IF(R29&lt;&gt;0,A29&amp;" ("&amp;H29&amp;", "&amp;I29&amp;")"&amp;", ","")</f>
        <v/>
      </c>
      <c r="T29" s="25"/>
      <c r="U29" s="75" t="str">
        <f>IF(I29&lt;&gt;J29,A29&amp;" ("&amp;I29&amp;", "&amp;J29&amp;")"&amp;", ","")</f>
        <v/>
      </c>
      <c r="V29" s="25"/>
      <c r="W29" s="25"/>
    </row>
    <row r="30" spans="1:23" customFormat="1" ht="12.75" customHeight="1" thickBot="1" x14ac:dyDescent="0.4">
      <c r="A30" s="294" t="s">
        <v>709</v>
      </c>
      <c r="B30" s="300"/>
      <c r="C30" s="301" t="s">
        <v>710</v>
      </c>
      <c r="D30" s="301"/>
      <c r="E30" s="302"/>
      <c r="F30" s="302"/>
      <c r="G30" s="303"/>
      <c r="H30" s="11">
        <v>7921</v>
      </c>
      <c r="I30" s="11">
        <v>8751</v>
      </c>
      <c r="J30" s="96">
        <v>8751</v>
      </c>
      <c r="K30" s="41">
        <f t="shared" si="4"/>
        <v>-830</v>
      </c>
      <c r="L30" s="43">
        <f t="shared" si="5"/>
        <v>0.10478474940032824</v>
      </c>
      <c r="M30" s="45"/>
      <c r="N30" s="90"/>
      <c r="O30" s="91"/>
      <c r="P30" s="27">
        <f>IF(AND(K30&gt;750,L30&gt;2),1,0)</f>
        <v>0</v>
      </c>
      <c r="Q30" s="27">
        <f>IF(AND(K30&lt;-750,L30&gt;2),1,0)</f>
        <v>0</v>
      </c>
      <c r="R30" s="27">
        <f>SUM(P30:Q30)</f>
        <v>0</v>
      </c>
      <c r="S30" s="75" t="str">
        <f>IF(R30&lt;&gt;0,A30&amp;" ("&amp;H30&amp;", "&amp;I30&amp;")"&amp;", ","")</f>
        <v/>
      </c>
      <c r="T30" s="25"/>
      <c r="U30" s="75" t="str">
        <f>IF(I30&lt;&gt;J30,A30&amp;" ("&amp;I30&amp;", "&amp;J30&amp;")"&amp;", ","")</f>
        <v/>
      </c>
      <c r="V30" s="25"/>
      <c r="W30" s="25"/>
    </row>
    <row r="31" spans="1:23" customFormat="1" ht="12.75" customHeight="1" thickBot="1" x14ac:dyDescent="0.4">
      <c r="A31" s="294" t="s">
        <v>711</v>
      </c>
      <c r="B31" s="300"/>
      <c r="C31" s="301" t="s">
        <v>712</v>
      </c>
      <c r="D31" s="301"/>
      <c r="E31" s="302"/>
      <c r="F31" s="302"/>
      <c r="G31" s="303"/>
      <c r="H31" s="11">
        <v>106</v>
      </c>
      <c r="I31" s="11">
        <v>114</v>
      </c>
      <c r="J31" s="96">
        <v>114</v>
      </c>
      <c r="K31" s="41">
        <f t="shared" si="4"/>
        <v>-8</v>
      </c>
      <c r="L31" s="43">
        <f t="shared" si="5"/>
        <v>7.5471698113207544E-2</v>
      </c>
      <c r="M31" s="45"/>
      <c r="N31" s="90"/>
      <c r="O31" s="91"/>
      <c r="P31" s="27">
        <f>IF(AND(K31&gt;750,L31&gt;2),1,0)</f>
        <v>0</v>
      </c>
      <c r="Q31" s="27">
        <f>IF(AND(K31&lt;-750,L31&gt;2),1,0)</f>
        <v>0</v>
      </c>
      <c r="R31" s="27">
        <f>SUM(P31:Q31)</f>
        <v>0</v>
      </c>
      <c r="S31" s="75" t="str">
        <f>IF(R31&lt;&gt;0,A31&amp;" ("&amp;H31&amp;", "&amp;I31&amp;")"&amp;", ","")</f>
        <v/>
      </c>
      <c r="T31" s="25"/>
      <c r="U31" s="75" t="str">
        <f>IF(I31&lt;&gt;J31,A31&amp;" ("&amp;I31&amp;", "&amp;J31&amp;")"&amp;", ","")</f>
        <v/>
      </c>
      <c r="V31" s="25"/>
      <c r="W31" s="25"/>
    </row>
    <row r="32" spans="1:23" customFormat="1" ht="12.75" customHeight="1" thickBot="1" x14ac:dyDescent="0.4">
      <c r="A32" s="294" t="s">
        <v>713</v>
      </c>
      <c r="B32" s="300"/>
      <c r="C32" s="301" t="s">
        <v>714</v>
      </c>
      <c r="D32" s="301"/>
      <c r="E32" s="302"/>
      <c r="F32" s="302"/>
      <c r="G32" s="303"/>
      <c r="H32" s="11">
        <v>0</v>
      </c>
      <c r="I32" s="11">
        <v>0</v>
      </c>
      <c r="J32" s="96">
        <v>0</v>
      </c>
      <c r="K32" s="41">
        <f t="shared" si="4"/>
        <v>0</v>
      </c>
      <c r="L32" s="43" t="str">
        <f t="shared" si="5"/>
        <v>-</v>
      </c>
      <c r="M32" s="45"/>
      <c r="N32" s="90"/>
      <c r="O32" s="91"/>
      <c r="P32" s="27">
        <f>IF(AND(K32&gt;750,L32&gt;2),1,0)</f>
        <v>0</v>
      </c>
      <c r="Q32" s="27">
        <f>IF(AND(K32&lt;-750,L32&gt;2),1,0)</f>
        <v>0</v>
      </c>
      <c r="R32" s="27">
        <f>SUM(P32:Q32)</f>
        <v>0</v>
      </c>
      <c r="S32" s="75" t="str">
        <f>IF(R32&lt;&gt;0,A32&amp;" ("&amp;H32&amp;", "&amp;I32&amp;")"&amp;", ","")</f>
        <v/>
      </c>
      <c r="T32" s="25"/>
      <c r="U32" s="75" t="str">
        <f>IF(I32&lt;&gt;J32,A32&amp;" ("&amp;I32&amp;", "&amp;J32&amp;")"&amp;", ","")</f>
        <v/>
      </c>
      <c r="V32" s="25"/>
      <c r="W32" s="25"/>
    </row>
    <row r="33" spans="1:23" customFormat="1" ht="12.75" customHeight="1" thickBot="1" x14ac:dyDescent="0.4">
      <c r="A33" s="294" t="s">
        <v>715</v>
      </c>
      <c r="B33" s="300"/>
      <c r="C33" s="301" t="s">
        <v>716</v>
      </c>
      <c r="D33" s="301"/>
      <c r="E33" s="302"/>
      <c r="F33" s="302"/>
      <c r="G33" s="303"/>
      <c r="H33" s="11">
        <v>21723</v>
      </c>
      <c r="I33" s="11">
        <v>17100</v>
      </c>
      <c r="J33" s="94">
        <v>17100</v>
      </c>
      <c r="K33" s="45">
        <f t="shared" si="4"/>
        <v>4623</v>
      </c>
      <c r="L33" s="45">
        <f t="shared" si="5"/>
        <v>0.27035087719298245</v>
      </c>
      <c r="M33" s="45"/>
      <c r="N33" s="25"/>
      <c r="O33" s="25"/>
      <c r="P33" s="25"/>
      <c r="Q33" s="25"/>
      <c r="R33" s="25"/>
      <c r="S33" s="25"/>
      <c r="T33" s="25"/>
      <c r="U33" s="25"/>
      <c r="V33" s="25"/>
      <c r="W33" s="25"/>
    </row>
    <row r="34" spans="1:23" customFormat="1" ht="12.75" customHeight="1" thickBot="1" x14ac:dyDescent="0.4">
      <c r="A34" s="294" t="s">
        <v>717</v>
      </c>
      <c r="B34" s="300"/>
      <c r="C34" s="301" t="s">
        <v>718</v>
      </c>
      <c r="D34" s="301"/>
      <c r="E34" s="302"/>
      <c r="F34" s="302"/>
      <c r="G34" s="303"/>
      <c r="H34" s="11">
        <v>2214</v>
      </c>
      <c r="I34" s="11">
        <v>2214</v>
      </c>
      <c r="J34" s="96">
        <v>2214</v>
      </c>
      <c r="K34" s="41">
        <f t="shared" si="4"/>
        <v>0</v>
      </c>
      <c r="L34" s="43">
        <f t="shared" si="5"/>
        <v>0</v>
      </c>
      <c r="M34" s="45"/>
      <c r="N34" s="90"/>
      <c r="O34" s="91"/>
      <c r="P34" s="27">
        <f>IF(AND(K34&gt;750,L34&gt;2),1,0)</f>
        <v>0</v>
      </c>
      <c r="Q34" s="27">
        <f>IF(AND(K34&lt;-750,L34&gt;2),1,0)</f>
        <v>0</v>
      </c>
      <c r="R34" s="27">
        <f>SUM(P34:Q34)</f>
        <v>0</v>
      </c>
      <c r="S34" s="75" t="str">
        <f>IF(R34&lt;&gt;0,A34&amp;" ("&amp;H34&amp;", "&amp;I34&amp;")"&amp;", ","")</f>
        <v/>
      </c>
      <c r="T34" s="25"/>
      <c r="U34" s="75" t="str">
        <f>IF(I34&lt;&gt;J34,A34&amp;" ("&amp;I34&amp;", "&amp;J34&amp;")"&amp;", ","")</f>
        <v/>
      </c>
      <c r="V34" s="25"/>
      <c r="W34" s="25"/>
    </row>
    <row r="35" spans="1:23" customFormat="1" ht="12.75" customHeight="1" thickBot="1" x14ac:dyDescent="0.4">
      <c r="A35" s="294" t="s">
        <v>719</v>
      </c>
      <c r="B35" s="300"/>
      <c r="C35" s="371" t="s">
        <v>720</v>
      </c>
      <c r="D35" s="301"/>
      <c r="E35" s="302"/>
      <c r="F35" s="302"/>
      <c r="G35" s="303"/>
      <c r="H35" s="11">
        <v>0</v>
      </c>
      <c r="I35" s="11">
        <v>0</v>
      </c>
      <c r="J35" s="94">
        <v>0</v>
      </c>
      <c r="K35" s="45">
        <f t="shared" si="4"/>
        <v>0</v>
      </c>
      <c r="L35" s="45" t="str">
        <f t="shared" si="5"/>
        <v>-</v>
      </c>
      <c r="M35" s="45"/>
      <c r="N35" s="25"/>
      <c r="O35" s="25"/>
      <c r="P35" s="25"/>
      <c r="Q35" s="25"/>
      <c r="R35" s="25"/>
      <c r="S35" s="25"/>
      <c r="T35" s="25"/>
      <c r="U35" s="25"/>
      <c r="V35" s="25"/>
      <c r="W35" s="25"/>
    </row>
    <row r="36" spans="1:23" customFormat="1" ht="12.75" customHeight="1" thickBot="1" x14ac:dyDescent="0.4">
      <c r="A36" s="294" t="s">
        <v>721</v>
      </c>
      <c r="B36" s="372"/>
      <c r="C36" s="373" t="s">
        <v>722</v>
      </c>
      <c r="D36" s="373"/>
      <c r="E36" s="374"/>
      <c r="F36" s="374"/>
      <c r="G36" s="375"/>
      <c r="H36" s="11">
        <v>452334</v>
      </c>
      <c r="I36" s="11">
        <v>448632</v>
      </c>
      <c r="J36" s="96">
        <v>420632</v>
      </c>
      <c r="K36" s="41">
        <f t="shared" si="4"/>
        <v>3702</v>
      </c>
      <c r="L36" s="43">
        <f t="shared" si="5"/>
        <v>8.25175199272455E-3</v>
      </c>
      <c r="M36" s="45"/>
      <c r="N36" s="90"/>
      <c r="O36" s="91"/>
      <c r="P36" s="27">
        <f>IF(AND(K36&gt;750,L36&gt;2),1,0)</f>
        <v>0</v>
      </c>
      <c r="Q36" s="27">
        <f>IF(AND(K36&lt;-750,L36&gt;2),1,0)</f>
        <v>0</v>
      </c>
      <c r="R36" s="27">
        <f>SUM(P36:Q36)</f>
        <v>0</v>
      </c>
      <c r="S36" s="75" t="str">
        <f>IF(R36&lt;&gt;0,A36&amp;" ("&amp;H36&amp;", "&amp;I36&amp;")"&amp;", ","")</f>
        <v/>
      </c>
      <c r="T36" s="25"/>
      <c r="U36" s="75" t="str">
        <f>IF(I36&lt;&gt;J36,A36&amp;" ("&amp;I36&amp;", "&amp;J36&amp;")"&amp;", ","")</f>
        <v xml:space="preserve">3h (448632, 420632), </v>
      </c>
      <c r="V36" s="25"/>
      <c r="W36" s="25"/>
    </row>
    <row r="37" spans="1:23" customFormat="1" ht="12.75" customHeight="1" x14ac:dyDescent="0.35">
      <c r="A37" s="294" t="s">
        <v>723</v>
      </c>
      <c r="B37" s="316" t="s">
        <v>724</v>
      </c>
      <c r="C37" s="363"/>
      <c r="D37" s="363"/>
      <c r="E37" s="363"/>
      <c r="F37" s="363"/>
      <c r="G37" s="376"/>
      <c r="H37" s="310">
        <f>SUM(H29:H36)</f>
        <v>484298</v>
      </c>
      <c r="I37" s="310">
        <f>SUM(I29:I36)</f>
        <v>476811</v>
      </c>
      <c r="J37" s="323">
        <f>SUM(J29:J36)</f>
        <v>448811</v>
      </c>
      <c r="K37" s="45">
        <f t="shared" si="4"/>
        <v>7487</v>
      </c>
      <c r="L37" s="45">
        <f t="shared" si="5"/>
        <v>1.5702238413123858E-2</v>
      </c>
      <c r="M37" s="45"/>
      <c r="N37" s="92"/>
      <c r="O37" s="92"/>
      <c r="P37" s="92"/>
      <c r="Q37" s="92"/>
      <c r="R37" s="92"/>
      <c r="S37" s="92"/>
      <c r="T37" s="92"/>
      <c r="U37" s="25"/>
      <c r="V37" s="25"/>
      <c r="W37" s="25"/>
    </row>
    <row r="38" spans="1:23" customFormat="1" ht="12.75" customHeight="1" thickBot="1" x14ac:dyDescent="0.4">
      <c r="A38" s="294"/>
      <c r="B38" s="311"/>
      <c r="C38" s="312"/>
      <c r="D38" s="312"/>
      <c r="E38" s="312"/>
      <c r="F38" s="312"/>
      <c r="G38" s="313"/>
      <c r="H38" s="314"/>
      <c r="I38" s="314"/>
      <c r="J38" s="314"/>
      <c r="K38" s="45"/>
      <c r="L38" s="45"/>
      <c r="M38" s="45"/>
      <c r="N38" s="25"/>
      <c r="O38" s="25"/>
      <c r="P38" s="25"/>
      <c r="Q38" s="25"/>
      <c r="R38" s="25"/>
      <c r="S38" s="25"/>
      <c r="T38" s="25"/>
      <c r="U38" s="25"/>
      <c r="V38" s="25"/>
      <c r="W38" s="25"/>
    </row>
    <row r="39" spans="1:23" customFormat="1" ht="12.75" customHeight="1" thickBot="1" x14ac:dyDescent="0.4">
      <c r="A39" s="294">
        <v>4</v>
      </c>
      <c r="B39" s="80" t="s">
        <v>725</v>
      </c>
      <c r="C39" s="302"/>
      <c r="D39" s="302"/>
      <c r="E39" s="302"/>
      <c r="F39" s="302"/>
      <c r="G39" s="360"/>
      <c r="H39" s="11">
        <v>0</v>
      </c>
      <c r="I39" s="11">
        <v>0</v>
      </c>
      <c r="J39" s="96">
        <v>0</v>
      </c>
      <c r="K39" s="41">
        <f>H39-I39</f>
        <v>0</v>
      </c>
      <c r="L39" s="43" t="str">
        <f>IF(AND(OR(H39=0,I39&lt;&gt;0),OR(I39=0,H39&lt;&gt;0)),IF((H39+I39+K39&lt;&gt;0),IF(AND(OR(H39&gt;0,I39&lt;0),OR(I39&gt;0,H39&lt;0)),ABS(K39/MIN(ABS(I39),ABS(H39))),10),"-"),10)</f>
        <v>-</v>
      </c>
      <c r="M39" s="45"/>
      <c r="N39" s="90"/>
      <c r="O39" s="91"/>
      <c r="P39" s="27">
        <f>IF(AND(K39&gt;750,L39&gt;2),1,0)</f>
        <v>0</v>
      </c>
      <c r="Q39" s="27">
        <f>IF(AND(K39&lt;-750,L39&gt;2),1,0)</f>
        <v>0</v>
      </c>
      <c r="R39" s="27">
        <f>SUM(P39:Q39)</f>
        <v>0</v>
      </c>
      <c r="S39" s="75" t="str">
        <f>IF(R39&lt;&gt;0,A39&amp;" ("&amp;H39&amp;", "&amp;I39&amp;")"&amp;", ","")</f>
        <v/>
      </c>
      <c r="T39" s="25"/>
      <c r="U39" s="75" t="str">
        <f>IF(I39&lt;&gt;J39,A39&amp;" ("&amp;I39&amp;", "&amp;J39&amp;")"&amp;", ","")</f>
        <v/>
      </c>
      <c r="V39" s="25"/>
      <c r="W39" s="25"/>
    </row>
    <row r="40" spans="1:23" customFormat="1" ht="12.75" customHeight="1" x14ac:dyDescent="0.35">
      <c r="A40" s="294"/>
      <c r="B40" s="311"/>
      <c r="C40" s="312"/>
      <c r="D40" s="312"/>
      <c r="E40" s="312"/>
      <c r="F40" s="312"/>
      <c r="G40" s="313"/>
      <c r="H40" s="314"/>
      <c r="I40" s="314"/>
      <c r="J40" s="314"/>
      <c r="K40" s="45"/>
      <c r="L40" s="45"/>
      <c r="M40" s="45"/>
      <c r="N40" s="25"/>
      <c r="O40" s="25"/>
      <c r="P40" s="25"/>
      <c r="Q40" s="25"/>
      <c r="R40" s="25"/>
      <c r="S40" s="25"/>
      <c r="T40" s="25"/>
      <c r="U40" s="25"/>
      <c r="V40" s="25"/>
      <c r="W40" s="25"/>
    </row>
    <row r="41" spans="1:23" customFormat="1" ht="12.75" customHeight="1" x14ac:dyDescent="0.35">
      <c r="A41" s="294">
        <v>5</v>
      </c>
      <c r="B41" s="307" t="s">
        <v>726</v>
      </c>
      <c r="C41" s="337"/>
      <c r="D41" s="337"/>
      <c r="E41" s="337"/>
      <c r="F41" s="337"/>
      <c r="G41" s="338"/>
      <c r="H41" s="310">
        <f>(H26-H37+H39)</f>
        <v>218560</v>
      </c>
      <c r="I41" s="310">
        <f>(I26-I37+I39)</f>
        <v>237769</v>
      </c>
      <c r="J41" s="310">
        <f>(J26-J37+J39)</f>
        <v>237769</v>
      </c>
      <c r="K41" s="45">
        <f>H41-I41</f>
        <v>-19209</v>
      </c>
      <c r="L41" s="45">
        <f>IF(AND(OR(H41=0,I41&lt;&gt;0),OR(I41=0,H41&lt;&gt;0)),IF((H41+I41+K41&lt;&gt;0),IF(AND(OR(H41&gt;0,I41&lt;0),OR(I41&gt;0,H41&lt;0)),ABS(K41/MIN(ABS(I41),ABS(H41))),10),"-"),10)</f>
        <v>8.7888909224011713E-2</v>
      </c>
      <c r="M41" s="45"/>
      <c r="N41" s="92"/>
      <c r="O41" s="92"/>
      <c r="P41" s="92"/>
      <c r="Q41" s="92"/>
      <c r="R41" s="92"/>
      <c r="S41" s="92"/>
      <c r="T41" s="92"/>
      <c r="U41" s="25"/>
      <c r="V41" s="25"/>
      <c r="W41" s="25"/>
    </row>
    <row r="42" spans="1:23" customFormat="1" ht="12.75" customHeight="1" x14ac:dyDescent="0.35">
      <c r="A42" s="294"/>
      <c r="B42" s="311"/>
      <c r="C42" s="377"/>
      <c r="D42" s="312"/>
      <c r="E42" s="312"/>
      <c r="F42" s="312"/>
      <c r="G42" s="313"/>
      <c r="H42" s="314"/>
      <c r="I42" s="314"/>
      <c r="J42" s="314"/>
      <c r="K42" s="45"/>
      <c r="L42" s="45"/>
      <c r="M42" s="45"/>
      <c r="N42" s="25"/>
      <c r="O42" s="25"/>
      <c r="P42" s="25"/>
      <c r="Q42" s="25"/>
      <c r="R42" s="25"/>
      <c r="S42" s="25"/>
      <c r="T42" s="25"/>
      <c r="U42" s="25"/>
      <c r="V42" s="25"/>
      <c r="W42" s="25"/>
    </row>
    <row r="43" spans="1:23" customFormat="1" ht="12.75" customHeight="1" x14ac:dyDescent="0.35">
      <c r="A43" s="294">
        <v>6</v>
      </c>
      <c r="B43" s="307" t="s">
        <v>727</v>
      </c>
      <c r="C43" s="337"/>
      <c r="D43" s="337"/>
      <c r="E43" s="337"/>
      <c r="F43" s="337"/>
      <c r="G43" s="338"/>
      <c r="H43" s="310">
        <f>H16+H41</f>
        <v>3662094</v>
      </c>
      <c r="I43" s="310">
        <f>I16+I41</f>
        <v>3602491</v>
      </c>
      <c r="J43" s="310">
        <f>J16+J41</f>
        <v>3602491</v>
      </c>
      <c r="K43" s="45">
        <f>H43-I43</f>
        <v>59603</v>
      </c>
      <c r="L43" s="45">
        <f>IF(AND(OR(H43=0,I43&lt;&gt;0),OR(I43=0,H43&lt;&gt;0)),IF((H43+I43+K43&lt;&gt;0),IF(AND(OR(H43&gt;0,I43&lt;0),OR(I43&gt;0,H43&lt;0)),ABS(K43/MIN(ABS(I43),ABS(H43))),10),"-"),10)</f>
        <v>1.6544940709081576E-2</v>
      </c>
      <c r="M43" s="45"/>
      <c r="N43" s="92"/>
      <c r="O43" s="92"/>
      <c r="P43" s="92"/>
      <c r="Q43" s="92"/>
      <c r="R43" s="92"/>
      <c r="S43" s="92"/>
      <c r="T43" s="92"/>
      <c r="U43" s="25"/>
      <c r="V43" s="25"/>
      <c r="W43" s="25"/>
    </row>
    <row r="44" spans="1:23" customFormat="1" ht="12.75" customHeight="1" x14ac:dyDescent="0.35">
      <c r="A44" s="294"/>
      <c r="B44" s="311"/>
      <c r="C44" s="312"/>
      <c r="D44" s="312"/>
      <c r="E44" s="312"/>
      <c r="F44" s="312"/>
      <c r="G44" s="313"/>
      <c r="H44" s="314"/>
      <c r="I44" s="314"/>
      <c r="J44" s="314"/>
      <c r="K44" s="45"/>
      <c r="L44" s="45"/>
      <c r="M44" s="45"/>
      <c r="N44" s="25"/>
      <c r="O44" s="25"/>
      <c r="P44" s="25"/>
      <c r="Q44" s="25"/>
      <c r="R44" s="25"/>
      <c r="S44" s="25"/>
      <c r="T44" s="25"/>
      <c r="U44" s="25"/>
      <c r="V44" s="25"/>
      <c r="W44" s="25"/>
    </row>
    <row r="45" spans="1:23" customFormat="1" ht="12.75" customHeight="1" thickBot="1" x14ac:dyDescent="0.4">
      <c r="A45" s="294">
        <v>7</v>
      </c>
      <c r="B45" s="295" t="s">
        <v>728</v>
      </c>
      <c r="C45" s="369"/>
      <c r="D45" s="369"/>
      <c r="E45" s="369"/>
      <c r="F45" s="369"/>
      <c r="G45" s="370"/>
      <c r="H45" s="315"/>
      <c r="I45" s="315"/>
      <c r="J45" s="315"/>
      <c r="K45" s="45"/>
      <c r="L45" s="45"/>
      <c r="M45" s="45"/>
      <c r="N45" s="25"/>
      <c r="O45" s="25"/>
      <c r="P45" s="25"/>
      <c r="Q45" s="25"/>
      <c r="R45" s="25"/>
      <c r="S45" s="25"/>
      <c r="T45" s="25"/>
      <c r="U45" s="25"/>
      <c r="V45" s="25"/>
      <c r="W45" s="25"/>
    </row>
    <row r="46" spans="1:23" customFormat="1" ht="12.75" customHeight="1" thickBot="1" x14ac:dyDescent="0.4">
      <c r="A46" s="294" t="s">
        <v>729</v>
      </c>
      <c r="B46" s="300"/>
      <c r="C46" s="301" t="s">
        <v>710</v>
      </c>
      <c r="D46" s="302"/>
      <c r="E46" s="302"/>
      <c r="F46" s="302"/>
      <c r="G46" s="303"/>
      <c r="H46" s="11">
        <v>513138</v>
      </c>
      <c r="I46" s="11">
        <v>521284</v>
      </c>
      <c r="J46" s="96">
        <v>521284</v>
      </c>
      <c r="K46" s="41">
        <f t="shared" ref="K46:K51" si="6">H46-I46</f>
        <v>-8146</v>
      </c>
      <c r="L46" s="43">
        <f t="shared" ref="L46:L51" si="7">IF(AND(OR(H46=0,I46&lt;&gt;0),OR(I46=0,H46&lt;&gt;0)),IF((H46+I46+K46&lt;&gt;0),IF(AND(OR(H46&gt;0,I46&lt;0),OR(I46&gt;0,H46&lt;0)),ABS(K46/MIN(ABS(I46),ABS(H46))),10),"-"),10)</f>
        <v>1.5874871866827248E-2</v>
      </c>
      <c r="M46" s="45"/>
      <c r="N46" s="90"/>
      <c r="O46" s="91"/>
      <c r="P46" s="27">
        <f>IF(AND(K46&gt;750,L46&gt;2),1,0)</f>
        <v>0</v>
      </c>
      <c r="Q46" s="27">
        <f>IF(AND(K46&lt;-750,L46&gt;2),1,0)</f>
        <v>0</v>
      </c>
      <c r="R46" s="27">
        <f>SUM(P46:Q46)</f>
        <v>0</v>
      </c>
      <c r="S46" s="75" t="str">
        <f>IF(R46&lt;&gt;0,A46&amp;" ("&amp;H46&amp;", "&amp;I46&amp;")"&amp;", ","")</f>
        <v/>
      </c>
      <c r="T46" s="25"/>
      <c r="U46" s="75" t="str">
        <f>IF(I46&lt;&gt;J46,A46&amp;" ("&amp;I46&amp;", "&amp;J46&amp;")"&amp;", ","")</f>
        <v/>
      </c>
      <c r="V46" s="25"/>
      <c r="W46" s="25"/>
    </row>
    <row r="47" spans="1:23" customFormat="1" ht="12.75" customHeight="1" thickBot="1" x14ac:dyDescent="0.4">
      <c r="A47" s="294" t="s">
        <v>730</v>
      </c>
      <c r="B47" s="300"/>
      <c r="C47" s="301" t="s">
        <v>712</v>
      </c>
      <c r="D47" s="302"/>
      <c r="E47" s="302"/>
      <c r="F47" s="302"/>
      <c r="G47" s="303"/>
      <c r="H47" s="11">
        <v>115</v>
      </c>
      <c r="I47" s="11">
        <v>221</v>
      </c>
      <c r="J47" s="96">
        <v>221</v>
      </c>
      <c r="K47" s="41">
        <f t="shared" si="6"/>
        <v>-106</v>
      </c>
      <c r="L47" s="43">
        <f t="shared" si="7"/>
        <v>0.92173913043478262</v>
      </c>
      <c r="M47" s="45"/>
      <c r="N47" s="90"/>
      <c r="O47" s="91"/>
      <c r="P47" s="27">
        <f>IF(AND(K47&gt;750,L47&gt;2),1,0)</f>
        <v>0</v>
      </c>
      <c r="Q47" s="27">
        <f>IF(AND(K47&lt;-750,L47&gt;2),1,0)</f>
        <v>0</v>
      </c>
      <c r="R47" s="27">
        <f>SUM(P47:Q47)</f>
        <v>0</v>
      </c>
      <c r="S47" s="75" t="str">
        <f>IF(R47&lt;&gt;0,A47&amp;" ("&amp;H47&amp;", "&amp;I47&amp;")"&amp;", ","")</f>
        <v/>
      </c>
      <c r="T47" s="25"/>
      <c r="U47" s="75" t="str">
        <f>IF(I47&lt;&gt;J47,A47&amp;" ("&amp;I47&amp;", "&amp;J47&amp;")"&amp;", ","")</f>
        <v/>
      </c>
      <c r="V47" s="25"/>
      <c r="W47" s="25"/>
    </row>
    <row r="48" spans="1:23" customFormat="1" ht="12.75" customHeight="1" thickBot="1" x14ac:dyDescent="0.4">
      <c r="A48" s="294" t="s">
        <v>731</v>
      </c>
      <c r="B48" s="300"/>
      <c r="C48" s="301" t="s">
        <v>718</v>
      </c>
      <c r="D48" s="302"/>
      <c r="E48" s="302"/>
      <c r="F48" s="302"/>
      <c r="G48" s="303"/>
      <c r="H48" s="11">
        <v>14451</v>
      </c>
      <c r="I48" s="11">
        <v>16666</v>
      </c>
      <c r="J48" s="96">
        <v>16666</v>
      </c>
      <c r="K48" s="41">
        <f t="shared" si="6"/>
        <v>-2215</v>
      </c>
      <c r="L48" s="43">
        <f t="shared" si="7"/>
        <v>0.15327658985537332</v>
      </c>
      <c r="M48" s="45"/>
      <c r="N48" s="90"/>
      <c r="O48" s="91"/>
      <c r="P48" s="27">
        <f>IF(AND(K48&gt;750,L48&gt;2),1,0)</f>
        <v>0</v>
      </c>
      <c r="Q48" s="27">
        <f>IF(AND(K48&lt;-750,L48&gt;2),1,0)</f>
        <v>0</v>
      </c>
      <c r="R48" s="27">
        <f>SUM(P48:Q48)</f>
        <v>0</v>
      </c>
      <c r="S48" s="75" t="str">
        <f>IF(R48&lt;&gt;0,A48&amp;" ("&amp;H48&amp;", "&amp;I48&amp;")"&amp;", ","")</f>
        <v/>
      </c>
      <c r="T48" s="25"/>
      <c r="U48" s="75" t="str">
        <f>IF(I48&lt;&gt;J48,A48&amp;" ("&amp;I48&amp;", "&amp;J48&amp;")"&amp;", ","")</f>
        <v/>
      </c>
      <c r="V48" s="25"/>
      <c r="W48" s="25"/>
    </row>
    <row r="49" spans="1:23" customFormat="1" ht="12.75" customHeight="1" thickBot="1" x14ac:dyDescent="0.4">
      <c r="A49" s="294" t="s">
        <v>732</v>
      </c>
      <c r="B49" s="300"/>
      <c r="C49" s="371" t="s">
        <v>720</v>
      </c>
      <c r="D49" s="301"/>
      <c r="E49" s="302"/>
      <c r="F49" s="302"/>
      <c r="G49" s="303"/>
      <c r="H49" s="11">
        <v>0</v>
      </c>
      <c r="I49" s="11">
        <v>0</v>
      </c>
      <c r="J49" s="94">
        <v>0</v>
      </c>
      <c r="K49" s="45">
        <f t="shared" si="6"/>
        <v>0</v>
      </c>
      <c r="L49" s="45" t="str">
        <f t="shared" si="7"/>
        <v>-</v>
      </c>
      <c r="M49" s="45"/>
      <c r="N49" s="25"/>
      <c r="O49" s="25"/>
      <c r="P49" s="25"/>
      <c r="Q49" s="25"/>
      <c r="R49" s="25"/>
      <c r="S49" s="25"/>
      <c r="T49" s="25"/>
      <c r="U49" s="25"/>
      <c r="V49" s="25"/>
      <c r="W49" s="25"/>
    </row>
    <row r="50" spans="1:23" customFormat="1" ht="12.75" customHeight="1" thickBot="1" x14ac:dyDescent="0.4">
      <c r="A50" s="294" t="s">
        <v>733</v>
      </c>
      <c r="B50" s="300"/>
      <c r="C50" s="301" t="s">
        <v>722</v>
      </c>
      <c r="D50" s="302"/>
      <c r="E50" s="302"/>
      <c r="F50" s="302"/>
      <c r="G50" s="303"/>
      <c r="H50" s="11">
        <v>0</v>
      </c>
      <c r="I50" s="11">
        <v>0</v>
      </c>
      <c r="J50" s="96">
        <v>0</v>
      </c>
      <c r="K50" s="41">
        <f t="shared" si="6"/>
        <v>0</v>
      </c>
      <c r="L50" s="43" t="str">
        <f t="shared" si="7"/>
        <v>-</v>
      </c>
      <c r="M50" s="45"/>
      <c r="N50" s="90"/>
      <c r="O50" s="91"/>
      <c r="P50" s="27">
        <f>IF(AND(K50&gt;750,L50&gt;2),1,0)</f>
        <v>0</v>
      </c>
      <c r="Q50" s="27">
        <f>IF(AND(K50&lt;-750,L50&gt;2),1,0)</f>
        <v>0</v>
      </c>
      <c r="R50" s="27">
        <f>SUM(P50:Q50)</f>
        <v>0</v>
      </c>
      <c r="S50" s="75" t="str">
        <f>IF(R50&lt;&gt;0,A50&amp;" ("&amp;H50&amp;", "&amp;I50&amp;")"&amp;", ","")</f>
        <v/>
      </c>
      <c r="T50" s="25"/>
      <c r="U50" s="75" t="str">
        <f>IF(I50&lt;&gt;J50,A50&amp;" ("&amp;I50&amp;", "&amp;J50&amp;")"&amp;", ","")</f>
        <v/>
      </c>
      <c r="V50" s="25"/>
      <c r="W50" s="25"/>
    </row>
    <row r="51" spans="1:23" customFormat="1" ht="12.75" customHeight="1" x14ac:dyDescent="0.35">
      <c r="A51" s="294" t="s">
        <v>734</v>
      </c>
      <c r="B51" s="316" t="s">
        <v>735</v>
      </c>
      <c r="C51" s="363"/>
      <c r="D51" s="363"/>
      <c r="E51" s="363"/>
      <c r="F51" s="363"/>
      <c r="G51" s="376"/>
      <c r="H51" s="310">
        <f>SUM(H46:H50)</f>
        <v>527704</v>
      </c>
      <c r="I51" s="310">
        <f>SUM(I46:I50)</f>
        <v>538171</v>
      </c>
      <c r="J51" s="323">
        <f>SUM(J46:J50)</f>
        <v>538171</v>
      </c>
      <c r="K51" s="45">
        <f t="shared" si="6"/>
        <v>-10467</v>
      </c>
      <c r="L51" s="45">
        <f t="shared" si="7"/>
        <v>1.9834983248184588E-2</v>
      </c>
      <c r="M51" s="45"/>
      <c r="N51" s="92"/>
      <c r="O51" s="92"/>
      <c r="P51" s="92"/>
      <c r="Q51" s="92"/>
      <c r="R51" s="92"/>
      <c r="S51" s="92"/>
      <c r="T51" s="92"/>
      <c r="U51" s="25"/>
      <c r="V51" s="25"/>
      <c r="W51" s="25"/>
    </row>
    <row r="52" spans="1:23" customFormat="1" ht="12.75" customHeight="1" x14ac:dyDescent="0.35">
      <c r="A52" s="294"/>
      <c r="B52" s="311"/>
      <c r="C52" s="312"/>
      <c r="D52" s="312"/>
      <c r="E52" s="312"/>
      <c r="F52" s="312"/>
      <c r="G52" s="313"/>
      <c r="H52" s="314"/>
      <c r="I52" s="314"/>
      <c r="J52" s="314"/>
      <c r="K52" s="45"/>
      <c r="L52" s="45"/>
      <c r="M52" s="45"/>
      <c r="N52" s="25"/>
      <c r="O52" s="25"/>
      <c r="P52" s="25"/>
      <c r="Q52" s="25"/>
      <c r="R52" s="25"/>
      <c r="S52" s="25"/>
      <c r="T52" s="25"/>
      <c r="U52" s="25"/>
      <c r="V52" s="25"/>
      <c r="W52" s="25"/>
    </row>
    <row r="53" spans="1:23" customFormat="1" ht="12.75" customHeight="1" thickBot="1" x14ac:dyDescent="0.4">
      <c r="A53" s="294">
        <v>8</v>
      </c>
      <c r="B53" s="295" t="s">
        <v>736</v>
      </c>
      <c r="C53" s="296"/>
      <c r="D53" s="296"/>
      <c r="E53" s="296"/>
      <c r="F53" s="296"/>
      <c r="G53" s="297"/>
      <c r="H53" s="315"/>
      <c r="I53" s="315"/>
      <c r="J53" s="315"/>
      <c r="K53" s="45"/>
      <c r="L53" s="45"/>
      <c r="M53" s="45"/>
      <c r="N53" s="25"/>
      <c r="O53" s="25"/>
      <c r="P53" s="25"/>
      <c r="Q53" s="25"/>
      <c r="R53" s="25"/>
      <c r="S53" s="25"/>
      <c r="T53" s="25"/>
      <c r="U53" s="25"/>
      <c r="V53" s="25"/>
      <c r="W53" s="25"/>
    </row>
    <row r="54" spans="1:23" customFormat="1" ht="12.75" customHeight="1" thickBot="1" x14ac:dyDescent="0.4">
      <c r="A54" s="294" t="s">
        <v>737</v>
      </c>
      <c r="B54" s="79"/>
      <c r="C54" s="301" t="s">
        <v>738</v>
      </c>
      <c r="D54" s="302"/>
      <c r="E54" s="302"/>
      <c r="F54" s="18"/>
      <c r="G54" s="360"/>
      <c r="H54" s="306">
        <v>0</v>
      </c>
      <c r="I54" s="306">
        <v>12071</v>
      </c>
      <c r="J54" s="305">
        <v>12071</v>
      </c>
      <c r="K54" s="41">
        <f>H54-I54</f>
        <v>-12071</v>
      </c>
      <c r="L54" s="43">
        <f>IF(AND(OR(H54=0,I54&lt;&gt;0),OR(I54=0,H54&lt;&gt;0)),IF((H54+I54+K54&lt;&gt;0),IF(AND(OR(H54&gt;0,I54&lt;0),OR(I54&gt;0,H54&lt;0)),ABS(K54/MIN(ABS(I54),ABS(H54))),10),"-"),10)</f>
        <v>10</v>
      </c>
      <c r="M54" s="45"/>
      <c r="N54" s="90" t="s">
        <v>106</v>
      </c>
      <c r="O54" s="91"/>
      <c r="P54" s="27">
        <f>IF(AND(K54&gt;750,L54&gt;2),1,0)</f>
        <v>0</v>
      </c>
      <c r="Q54" s="27">
        <f>IF(AND(K54&lt;-750,L54&gt;2),1,0)</f>
        <v>1</v>
      </c>
      <c r="R54" s="27">
        <f>SUM(P54:Q54)</f>
        <v>1</v>
      </c>
      <c r="S54" s="75" t="str">
        <f>IF(R54&lt;&gt;0,A54&amp;" ("&amp;H54&amp;", "&amp;I54&amp;")"&amp;", ","")</f>
        <v xml:space="preserve">8a (0, 12071), </v>
      </c>
      <c r="T54" s="25"/>
      <c r="U54" s="75" t="str">
        <f>IF(I54&lt;&gt;J54,A54&amp;" ("&amp;I54&amp;", "&amp;J54&amp;")"&amp;", ","")</f>
        <v/>
      </c>
      <c r="V54" s="25"/>
      <c r="W54" s="25"/>
    </row>
    <row r="55" spans="1:23" customFormat="1" ht="12.75" customHeight="1" thickBot="1" x14ac:dyDescent="0.4">
      <c r="A55" s="294" t="s">
        <v>739</v>
      </c>
      <c r="B55" s="300"/>
      <c r="C55" s="301" t="s">
        <v>740</v>
      </c>
      <c r="D55" s="302"/>
      <c r="E55" s="302"/>
      <c r="F55" s="302"/>
      <c r="G55" s="303"/>
      <c r="H55" s="306">
        <v>8560</v>
      </c>
      <c r="I55" s="306">
        <v>600</v>
      </c>
      <c r="J55" s="305">
        <v>600</v>
      </c>
      <c r="K55" s="41">
        <f>H55-I55</f>
        <v>7960</v>
      </c>
      <c r="L55" s="43">
        <f>IF(AND(OR(H55=0,I55&lt;&gt;0),OR(I55=0,H55&lt;&gt;0)),IF((H55+I55+K55&lt;&gt;0),IF(AND(OR(H55&gt;0,I55&lt;0),OR(I55&gt;0,H55&lt;0)),ABS(K55/MIN(ABS(I55),ABS(H55))),10),"-"),10)</f>
        <v>13.266666666666667</v>
      </c>
      <c r="M55" s="45"/>
      <c r="N55" s="90"/>
      <c r="O55" s="91"/>
      <c r="P55" s="27">
        <f>IF(AND(K55&gt;750,L55&gt;2),1,0)</f>
        <v>1</v>
      </c>
      <c r="Q55" s="27">
        <f>IF(AND(K55&lt;-750,L55&gt;2),1,0)</f>
        <v>0</v>
      </c>
      <c r="R55" s="27">
        <f>SUM(P55:Q55)</f>
        <v>1</v>
      </c>
      <c r="S55" s="75" t="str">
        <f>IF(R55&lt;&gt;0,A55&amp;" ("&amp;H55&amp;", "&amp;I55&amp;")"&amp;", ","")</f>
        <v xml:space="preserve">8b (8560, 600), </v>
      </c>
      <c r="T55" s="25"/>
      <c r="U55" s="75" t="str">
        <f>IF(I55&lt;&gt;J55,A55&amp;" ("&amp;I55&amp;", "&amp;J55&amp;")"&amp;", ","")</f>
        <v/>
      </c>
      <c r="V55" s="25"/>
      <c r="W55" s="25"/>
    </row>
    <row r="56" spans="1:23" customFormat="1" ht="12.75" customHeight="1" x14ac:dyDescent="0.35">
      <c r="A56" s="294" t="s">
        <v>741</v>
      </c>
      <c r="B56" s="307" t="s">
        <v>742</v>
      </c>
      <c r="C56" s="337"/>
      <c r="D56" s="337"/>
      <c r="E56" s="337"/>
      <c r="F56" s="337"/>
      <c r="G56" s="338"/>
      <c r="H56" s="310">
        <f>SUM(H54:H55)</f>
        <v>8560</v>
      </c>
      <c r="I56" s="310">
        <f>SUM(I54:I55)</f>
        <v>12671</v>
      </c>
      <c r="J56" s="310">
        <f>SUM(J54:J55)</f>
        <v>12671</v>
      </c>
      <c r="K56" s="45">
        <f>H56-I56</f>
        <v>-4111</v>
      </c>
      <c r="L56" s="45">
        <f>IF(AND(OR(H56=0,I56&lt;&gt;0),OR(I56=0,H56&lt;&gt;0)),IF((H56+I56+K56&lt;&gt;0),IF(AND(OR(H56&gt;0,I56&lt;0),OR(I56&gt;0,H56&lt;0)),ABS(K56/MIN(ABS(I56),ABS(H56))),10),"-"),10)</f>
        <v>0.48025700934579441</v>
      </c>
      <c r="M56" s="45"/>
      <c r="N56" s="92"/>
      <c r="O56" s="92"/>
      <c r="P56" s="92"/>
      <c r="Q56" s="92"/>
      <c r="R56" s="92"/>
      <c r="S56" s="92"/>
      <c r="T56" s="92"/>
      <c r="U56" s="25"/>
      <c r="V56" s="25"/>
      <c r="W56" s="25"/>
    </row>
    <row r="57" spans="1:23" customFormat="1" ht="12.75" customHeight="1" x14ac:dyDescent="0.35">
      <c r="A57" s="294"/>
      <c r="B57" s="311"/>
      <c r="C57" s="312"/>
      <c r="D57" s="312"/>
      <c r="E57" s="312"/>
      <c r="F57" s="312"/>
      <c r="G57" s="313"/>
      <c r="H57" s="314"/>
      <c r="I57" s="314"/>
      <c r="J57" s="314"/>
      <c r="K57" s="45"/>
      <c r="L57" s="45"/>
      <c r="M57" s="45"/>
      <c r="N57" s="25"/>
      <c r="O57" s="25"/>
      <c r="P57" s="25"/>
      <c r="Q57" s="25"/>
      <c r="R57" s="25"/>
      <c r="S57" s="25"/>
      <c r="T57" s="25"/>
      <c r="U57" s="25"/>
      <c r="V57" s="25"/>
      <c r="W57" s="25"/>
    </row>
    <row r="58" spans="1:23" customFormat="1" ht="12.75" customHeight="1" x14ac:dyDescent="0.35">
      <c r="A58" s="294">
        <v>9</v>
      </c>
      <c r="B58" s="307" t="s">
        <v>743</v>
      </c>
      <c r="C58" s="337"/>
      <c r="D58" s="337"/>
      <c r="E58" s="337"/>
      <c r="F58" s="337"/>
      <c r="G58" s="338"/>
      <c r="H58" s="310">
        <f>(H43-H51-H56)</f>
        <v>3125830</v>
      </c>
      <c r="I58" s="310">
        <f>(I43-I51-I56)</f>
        <v>3051649</v>
      </c>
      <c r="J58" s="310">
        <f>(J43-J51-J56)</f>
        <v>3051649</v>
      </c>
      <c r="K58" s="45">
        <f>H58-I58</f>
        <v>74181</v>
      </c>
      <c r="L58" s="45">
        <f>IF(AND(OR(H58=0,I58&lt;&gt;0),OR(I58=0,H58&lt;&gt;0)),IF((H58+I58+K58&lt;&gt;0),IF(AND(OR(H58&gt;0,I58&lt;0),OR(I58&gt;0,H58&lt;0)),ABS(K58/MIN(ABS(I58),ABS(H58))),10),"-"),10)</f>
        <v>2.4308496815983752E-2</v>
      </c>
      <c r="M58" s="45"/>
      <c r="N58" s="92"/>
      <c r="O58" s="92"/>
      <c r="P58" s="92"/>
      <c r="Q58" s="92"/>
      <c r="R58" s="92"/>
      <c r="S58" s="92"/>
      <c r="T58" s="92"/>
      <c r="U58" s="25"/>
      <c r="V58" s="25"/>
      <c r="W58" s="25"/>
    </row>
    <row r="59" spans="1:23" customFormat="1" ht="12.75" customHeight="1" x14ac:dyDescent="0.35">
      <c r="A59" s="294"/>
      <c r="B59" s="311"/>
      <c r="C59" s="312"/>
      <c r="D59" s="312"/>
      <c r="E59" s="312"/>
      <c r="F59" s="312"/>
      <c r="G59" s="313"/>
      <c r="H59" s="314"/>
      <c r="I59" s="314"/>
      <c r="J59" s="314"/>
      <c r="K59" s="45"/>
      <c r="L59" s="45"/>
      <c r="M59" s="45"/>
      <c r="N59" s="25"/>
      <c r="O59" s="25"/>
      <c r="P59" s="25"/>
      <c r="Q59" s="25"/>
      <c r="R59" s="25"/>
      <c r="S59" s="25"/>
      <c r="T59" s="25"/>
      <c r="U59" s="25"/>
      <c r="V59" s="25"/>
      <c r="W59" s="25"/>
    </row>
    <row r="60" spans="1:23" customFormat="1" ht="12.75" customHeight="1" thickBot="1" x14ac:dyDescent="0.4">
      <c r="A60" s="294">
        <v>10</v>
      </c>
      <c r="B60" s="295" t="s">
        <v>744</v>
      </c>
      <c r="C60" s="296"/>
      <c r="D60" s="296"/>
      <c r="E60" s="296"/>
      <c r="F60" s="296"/>
      <c r="G60" s="297"/>
      <c r="H60" s="315"/>
      <c r="I60" s="315"/>
      <c r="J60" s="315"/>
      <c r="K60" s="45"/>
      <c r="L60" s="45"/>
      <c r="M60" s="45"/>
      <c r="N60" s="25"/>
      <c r="O60" s="25"/>
      <c r="P60" s="25"/>
      <c r="Q60" s="25"/>
      <c r="R60" s="25"/>
      <c r="S60" s="25"/>
      <c r="T60" s="25"/>
      <c r="U60" s="25"/>
      <c r="V60" s="25"/>
      <c r="W60" s="25"/>
    </row>
    <row r="61" spans="1:23" customFormat="1" ht="12.75" customHeight="1" thickBot="1" x14ac:dyDescent="0.4">
      <c r="A61" s="294" t="s">
        <v>745</v>
      </c>
      <c r="B61" s="300"/>
      <c r="C61" s="301" t="s">
        <v>746</v>
      </c>
      <c r="D61" s="302"/>
      <c r="E61" s="302"/>
      <c r="F61" s="302"/>
      <c r="G61" s="303"/>
      <c r="H61" s="306">
        <v>604765</v>
      </c>
      <c r="I61" s="306">
        <v>580400</v>
      </c>
      <c r="J61" s="305">
        <v>580400</v>
      </c>
      <c r="K61" s="41">
        <f>H61-I61</f>
        <v>24365</v>
      </c>
      <c r="L61" s="43">
        <f>IF(AND(OR(H61=0,I61&lt;&gt;0),OR(I61=0,H61&lt;&gt;0)),IF((H61+I61+K61&lt;&gt;0),IF(AND(OR(H61&gt;0,I61&lt;0),OR(I61&gt;0,H61&lt;0)),ABS(K61/MIN(ABS(I61),ABS(H61))),10),"-"),10)</f>
        <v>4.1979669193659544E-2</v>
      </c>
      <c r="M61" s="45"/>
      <c r="N61" s="90"/>
      <c r="O61" s="91"/>
      <c r="P61" s="27">
        <f>IF(AND(K61&gt;750,L61&gt;2),1,0)</f>
        <v>0</v>
      </c>
      <c r="Q61" s="27">
        <f>IF(AND(K61&lt;-750,L61&gt;2),1,0)</f>
        <v>0</v>
      </c>
      <c r="R61" s="27">
        <f>SUM(P61:Q61)</f>
        <v>0</v>
      </c>
      <c r="S61" s="75" t="str">
        <f>IF(R61&lt;&gt;0,A61&amp;" ("&amp;H61&amp;", "&amp;I61&amp;")"&amp;", ","")</f>
        <v/>
      </c>
      <c r="T61" s="25"/>
      <c r="U61" s="75" t="str">
        <f>IF(I61&lt;&gt;J61,A61&amp;" ("&amp;I61&amp;", "&amp;J61&amp;")"&amp;", ","")</f>
        <v/>
      </c>
      <c r="V61" s="25"/>
      <c r="W61" s="25"/>
    </row>
    <row r="62" spans="1:23" customFormat="1" ht="12.75" customHeight="1" thickBot="1" x14ac:dyDescent="0.4">
      <c r="A62" s="294" t="s">
        <v>747</v>
      </c>
      <c r="B62" s="300"/>
      <c r="C62" s="301" t="s">
        <v>748</v>
      </c>
      <c r="D62" s="302"/>
      <c r="E62" s="302"/>
      <c r="F62" s="302"/>
      <c r="G62" s="303"/>
      <c r="H62" s="306">
        <v>88053</v>
      </c>
      <c r="I62" s="306">
        <v>98900</v>
      </c>
      <c r="J62" s="305">
        <v>98900</v>
      </c>
      <c r="K62" s="41">
        <f>H62-I62</f>
        <v>-10847</v>
      </c>
      <c r="L62" s="43">
        <f>IF(AND(OR(H62=0,I62&lt;&gt;0),OR(I62=0,H62&lt;&gt;0)),IF((H62+I62+K62&lt;&gt;0),IF(AND(OR(H62&gt;0,I62&lt;0),OR(I62&gt;0,H62&lt;0)),ABS(K62/MIN(ABS(I62),ABS(H62))),10),"-"),10)</f>
        <v>0.12318717136270201</v>
      </c>
      <c r="M62" s="45"/>
      <c r="N62" s="90"/>
      <c r="O62" s="91"/>
      <c r="P62" s="27">
        <f>IF(AND(K62&gt;750,L62&gt;2),1,0)</f>
        <v>0</v>
      </c>
      <c r="Q62" s="27">
        <f>IF(AND(K62&lt;-750,L62&gt;2),1,0)</f>
        <v>0</v>
      </c>
      <c r="R62" s="27">
        <f>SUM(P62:Q62)</f>
        <v>0</v>
      </c>
      <c r="S62" s="75" t="str">
        <f>IF(R62&lt;&gt;0,A62&amp;" ("&amp;H62&amp;", "&amp;I62&amp;")"&amp;", ","")</f>
        <v/>
      </c>
      <c r="T62" s="25"/>
      <c r="U62" s="75" t="str">
        <f>IF(I62&lt;&gt;J62,A62&amp;" ("&amp;I62&amp;", "&amp;J62&amp;")"&amp;", ","")</f>
        <v/>
      </c>
      <c r="V62" s="25"/>
      <c r="W62" s="25"/>
    </row>
    <row r="63" spans="1:23" customFormat="1" ht="12.75" customHeight="1" thickBot="1" x14ac:dyDescent="0.4">
      <c r="A63" s="294">
        <v>11</v>
      </c>
      <c r="B63" s="295" t="s">
        <v>749</v>
      </c>
      <c r="C63" s="296"/>
      <c r="D63" s="296"/>
      <c r="E63" s="296"/>
      <c r="F63" s="296"/>
      <c r="G63" s="297"/>
      <c r="H63" s="315"/>
      <c r="I63" s="315"/>
      <c r="J63" s="315"/>
      <c r="K63" s="45"/>
      <c r="L63" s="45"/>
      <c r="M63" s="45"/>
      <c r="N63" s="25"/>
      <c r="O63" s="25"/>
      <c r="P63" s="25"/>
      <c r="Q63" s="25"/>
      <c r="R63" s="25"/>
      <c r="S63" s="25"/>
      <c r="T63" s="25"/>
      <c r="U63" s="25"/>
      <c r="V63" s="25"/>
      <c r="W63" s="25"/>
    </row>
    <row r="64" spans="1:23" customFormat="1" ht="12.75" customHeight="1" thickBot="1" x14ac:dyDescent="0.4">
      <c r="A64" s="294" t="s">
        <v>750</v>
      </c>
      <c r="B64" s="300"/>
      <c r="C64" s="301" t="s">
        <v>751</v>
      </c>
      <c r="D64" s="302"/>
      <c r="E64" s="302"/>
      <c r="F64" s="302"/>
      <c r="G64" s="303"/>
      <c r="H64" s="306">
        <v>2224612</v>
      </c>
      <c r="I64" s="306">
        <v>2163949</v>
      </c>
      <c r="J64" s="305">
        <v>2163949</v>
      </c>
      <c r="K64" s="41">
        <f>H64-I64</f>
        <v>60663</v>
      </c>
      <c r="L64" s="43">
        <f>IF(AND(OR(H64=0,I64&lt;&gt;0),OR(I64=0,H64&lt;&gt;0)),IF((H64+I64+K64&lt;&gt;0),IF(AND(OR(H64&gt;0,I64&lt;0),OR(I64&gt;0,H64&lt;0)),ABS(K64/MIN(ABS(I64),ABS(H64))),10),"-"),10)</f>
        <v>2.8033470289734186E-2</v>
      </c>
      <c r="M64" s="45"/>
      <c r="N64" s="90"/>
      <c r="O64" s="91"/>
      <c r="P64" s="27">
        <f>IF(AND(K64&gt;750,L64&gt;2),1,0)</f>
        <v>0</v>
      </c>
      <c r="Q64" s="27">
        <f>IF(AND(K64&lt;-750,L64&gt;2),1,0)</f>
        <v>0</v>
      </c>
      <c r="R64" s="27">
        <f>SUM(P64:Q64)</f>
        <v>0</v>
      </c>
      <c r="S64" s="75" t="str">
        <f>IF(R64&lt;&gt;0,A64&amp;" ("&amp;H64&amp;", "&amp;I64&amp;")"&amp;", ","")</f>
        <v/>
      </c>
      <c r="T64" s="25"/>
      <c r="U64" s="75" t="str">
        <f>IF(I64&lt;&gt;J64,A64&amp;" ("&amp;I64&amp;", "&amp;J64&amp;")"&amp;", ","")</f>
        <v/>
      </c>
      <c r="V64" s="25"/>
      <c r="W64" s="25"/>
    </row>
    <row r="65" spans="1:23" customFormat="1" ht="12.75" customHeight="1" thickBot="1" x14ac:dyDescent="0.4">
      <c r="A65" s="294" t="s">
        <v>752</v>
      </c>
      <c r="B65" s="300"/>
      <c r="C65" s="301" t="s">
        <v>753</v>
      </c>
      <c r="D65" s="302"/>
      <c r="E65" s="302"/>
      <c r="F65" s="302"/>
      <c r="G65" s="303"/>
      <c r="H65" s="306">
        <v>208400</v>
      </c>
      <c r="I65" s="306">
        <v>208400</v>
      </c>
      <c r="J65" s="305">
        <v>208400</v>
      </c>
      <c r="K65" s="41">
        <f>H65-I65</f>
        <v>0</v>
      </c>
      <c r="L65" s="43">
        <f>IF(AND(OR(H65=0,I65&lt;&gt;0),OR(I65=0,H65&lt;&gt;0)),IF((H65+I65+K65&lt;&gt;0),IF(AND(OR(H65&gt;0,I65&lt;0),OR(I65&gt;0,H65&lt;0)),ABS(K65/MIN(ABS(I65),ABS(H65))),10),"-"),10)</f>
        <v>0</v>
      </c>
      <c r="M65" s="45"/>
      <c r="N65" s="90"/>
      <c r="O65" s="91"/>
      <c r="P65" s="27">
        <f>IF(AND(K65&gt;750,L65&gt;2),1,0)</f>
        <v>0</v>
      </c>
      <c r="Q65" s="27">
        <f>IF(AND(K65&lt;-750,L65&gt;2),1,0)</f>
        <v>0</v>
      </c>
      <c r="R65" s="27">
        <f>SUM(P65:Q65)</f>
        <v>0</v>
      </c>
      <c r="S65" s="75" t="str">
        <f>IF(R65&lt;&gt;0,A65&amp;" ("&amp;H65&amp;", "&amp;I65&amp;")"&amp;", ","")</f>
        <v/>
      </c>
      <c r="T65" s="25"/>
      <c r="U65" s="75" t="str">
        <f>IF(I65&lt;&gt;J65,A65&amp;" ("&amp;I65&amp;", "&amp;J65&amp;")"&amp;", ","")</f>
        <v/>
      </c>
      <c r="V65" s="25"/>
      <c r="W65" s="25"/>
    </row>
    <row r="66" spans="1:23" customFormat="1" ht="12.75" customHeight="1" x14ac:dyDescent="0.35">
      <c r="A66" s="294">
        <v>12</v>
      </c>
      <c r="B66" s="307" t="s">
        <v>754</v>
      </c>
      <c r="C66" s="337"/>
      <c r="D66" s="337"/>
      <c r="E66" s="337"/>
      <c r="F66" s="337"/>
      <c r="G66" s="338"/>
      <c r="H66" s="310">
        <f>SUM(H61:H65)</f>
        <v>3125830</v>
      </c>
      <c r="I66" s="310">
        <f>SUM(I61:I65)</f>
        <v>3051649</v>
      </c>
      <c r="J66" s="323">
        <f>SUM(J61:J65)</f>
        <v>3051649</v>
      </c>
      <c r="K66" s="45">
        <f>H66-I66</f>
        <v>74181</v>
      </c>
      <c r="L66" s="45">
        <f>IF(AND(OR(H66=0,I66&lt;&gt;0),OR(I66=0,H66&lt;&gt;0)),IF((H66+I66+K66&lt;&gt;0),IF(AND(OR(H66&gt;0,I66&lt;0),OR(I66&gt;0,H66&lt;0)),ABS(K66/MIN(ABS(I66),ABS(H66))),10),"-"),10)</f>
        <v>2.4308496815983752E-2</v>
      </c>
      <c r="M66" s="45"/>
      <c r="N66" s="92"/>
      <c r="O66" s="92"/>
      <c r="P66" s="92"/>
      <c r="Q66" s="92"/>
      <c r="R66" s="92"/>
      <c r="S66" s="92"/>
      <c r="T66" s="92"/>
      <c r="U66" s="25"/>
      <c r="V66" s="25"/>
      <c r="W66" s="25"/>
    </row>
    <row r="67" spans="1:23" customFormat="1" ht="12.75" customHeight="1" thickBot="1" x14ac:dyDescent="0.4">
      <c r="A67" s="294"/>
      <c r="B67" s="80"/>
      <c r="C67" s="302"/>
      <c r="D67" s="302"/>
      <c r="E67" s="302"/>
      <c r="F67" s="7"/>
      <c r="G67" s="360"/>
      <c r="H67" s="81"/>
      <c r="I67" s="81"/>
      <c r="J67" s="81"/>
      <c r="K67" s="45"/>
      <c r="L67" s="45"/>
      <c r="M67" s="45"/>
      <c r="N67" s="25"/>
      <c r="O67" s="25"/>
      <c r="P67" s="25"/>
      <c r="Q67" s="25"/>
      <c r="R67" s="25"/>
      <c r="S67" s="25"/>
      <c r="T67" s="25"/>
      <c r="U67" s="25"/>
      <c r="V67" s="25"/>
      <c r="W67" s="25"/>
    </row>
    <row r="68" spans="1:23" customFormat="1" ht="12.75" customHeight="1" thickBot="1" x14ac:dyDescent="0.4">
      <c r="A68" s="294">
        <v>13</v>
      </c>
      <c r="B68" s="311" t="s">
        <v>672</v>
      </c>
      <c r="C68" s="312"/>
      <c r="D68" s="312"/>
      <c r="E68" s="312"/>
      <c r="F68" s="312"/>
      <c r="G68" s="313"/>
      <c r="H68" s="306">
        <v>0</v>
      </c>
      <c r="I68" s="306">
        <v>0</v>
      </c>
      <c r="J68" s="305">
        <v>0</v>
      </c>
      <c r="K68" s="41">
        <f>H68-I68</f>
        <v>0</v>
      </c>
      <c r="L68" s="43" t="str">
        <f>IF(AND(OR(H68=0,I68&lt;&gt;0),OR(I68=0,H68&lt;&gt;0)),IF((H68+I68+K68&lt;&gt;0),IF(AND(OR(H68&gt;0,I68&lt;0),OR(I68&gt;0,H68&lt;0)),ABS(K68/MIN(ABS(I68),ABS(H68))),10),"-"),10)</f>
        <v>-</v>
      </c>
      <c r="M68" s="45"/>
      <c r="N68" s="90"/>
      <c r="O68" s="91"/>
      <c r="P68" s="27">
        <f>IF(AND(K68&gt;750,L68&gt;2),1,0)</f>
        <v>0</v>
      </c>
      <c r="Q68" s="27">
        <f>IF(AND(K68&lt;-750,L68&gt;2),1,0)</f>
        <v>0</v>
      </c>
      <c r="R68" s="27">
        <f>SUM(P68:Q68)</f>
        <v>0</v>
      </c>
      <c r="S68" s="75" t="str">
        <f>IF(R68&lt;&gt;0,A68&amp;" ("&amp;H68&amp;", "&amp;I68&amp;")"&amp;", ","")</f>
        <v/>
      </c>
      <c r="T68" s="25"/>
      <c r="U68" s="75" t="str">
        <f>IF(I68&lt;&gt;J68,A68&amp;" ("&amp;I68&amp;", "&amp;J68&amp;")"&amp;", ","")</f>
        <v/>
      </c>
      <c r="V68" s="25"/>
      <c r="W68" s="25"/>
    </row>
    <row r="69" spans="1:23" customFormat="1" ht="12.75" customHeight="1" x14ac:dyDescent="0.35">
      <c r="A69" s="294"/>
      <c r="B69" s="311"/>
      <c r="C69" s="312"/>
      <c r="D69" s="312"/>
      <c r="E69" s="312"/>
      <c r="F69" s="312"/>
      <c r="G69" s="313"/>
      <c r="H69" s="378"/>
      <c r="I69" s="314"/>
      <c r="J69" s="314"/>
      <c r="K69" s="45"/>
      <c r="L69" s="45"/>
      <c r="M69" s="45"/>
      <c r="N69" s="25"/>
      <c r="O69" s="25"/>
      <c r="P69" s="25"/>
      <c r="Q69" s="25"/>
      <c r="R69" s="25"/>
      <c r="S69" s="25"/>
      <c r="T69" s="25"/>
      <c r="U69" s="25"/>
      <c r="V69" s="25"/>
      <c r="W69" s="25"/>
    </row>
    <row r="70" spans="1:23" customFormat="1" ht="12.75" customHeight="1" x14ac:dyDescent="0.35">
      <c r="A70" s="294">
        <v>14</v>
      </c>
      <c r="B70" s="307" t="s">
        <v>755</v>
      </c>
      <c r="C70" s="337"/>
      <c r="D70" s="337"/>
      <c r="E70" s="337"/>
      <c r="F70" s="337"/>
      <c r="G70" s="338"/>
      <c r="H70" s="310">
        <f>(H66+H68)</f>
        <v>3125830</v>
      </c>
      <c r="I70" s="310">
        <f>(I66+I68)</f>
        <v>3051649</v>
      </c>
      <c r="J70" s="310">
        <f>(J66+J68)</f>
        <v>3051649</v>
      </c>
      <c r="K70" s="45">
        <f>H70-I70</f>
        <v>74181</v>
      </c>
      <c r="L70" s="45">
        <f>IF(AND(OR(H70=0,I70&lt;&gt;0),OR(I70=0,H70&lt;&gt;0)),IF((H70+I70+K70&lt;&gt;0),IF(AND(OR(H70&gt;0,I70&lt;0),OR(I70&gt;0,H70&lt;0)),ABS(K70/MIN(ABS(I70),ABS(H70))),10),"-"),10)</f>
        <v>2.4308496815983752E-2</v>
      </c>
      <c r="M70" s="45"/>
      <c r="N70" s="92"/>
      <c r="O70" s="92"/>
      <c r="P70" s="92"/>
      <c r="Q70" s="92"/>
      <c r="R70" s="92"/>
      <c r="S70" s="92"/>
      <c r="T70" s="92"/>
      <c r="U70" s="25"/>
      <c r="V70" s="25"/>
      <c r="W70" s="25"/>
    </row>
    <row r="71" spans="1:23" customFormat="1" ht="12.75" customHeight="1" x14ac:dyDescent="0.35">
      <c r="A71" s="294"/>
      <c r="B71" s="311"/>
      <c r="C71" s="312"/>
      <c r="D71" s="312"/>
      <c r="E71" s="312"/>
      <c r="F71" s="312"/>
      <c r="G71" s="313"/>
      <c r="H71" s="378"/>
      <c r="I71" s="314"/>
      <c r="J71" s="314"/>
      <c r="K71" s="45"/>
      <c r="L71" s="45"/>
      <c r="M71" s="45"/>
      <c r="N71" s="25"/>
      <c r="O71" s="25"/>
      <c r="P71" s="25"/>
      <c r="Q71" s="25"/>
      <c r="R71" s="25"/>
      <c r="S71" s="25"/>
      <c r="T71" s="25"/>
      <c r="U71" s="25"/>
      <c r="V71" s="25"/>
      <c r="W71" s="25"/>
    </row>
    <row r="72" spans="1:23" customFormat="1" ht="12.75" customHeight="1" x14ac:dyDescent="0.35">
      <c r="A72" s="294">
        <v>15</v>
      </c>
      <c r="B72" s="80" t="s">
        <v>756</v>
      </c>
      <c r="C72" s="7"/>
      <c r="D72" s="7"/>
      <c r="E72" s="7"/>
      <c r="F72" s="7"/>
      <c r="G72" s="6"/>
      <c r="H72" s="306">
        <v>0</v>
      </c>
      <c r="I72" s="306">
        <v>0</v>
      </c>
      <c r="J72" s="322">
        <v>0</v>
      </c>
      <c r="K72" s="45">
        <f>H72-I72</f>
        <v>0</v>
      </c>
      <c r="L72" s="45" t="str">
        <f>IF(AND(OR(H72=0,I72&lt;&gt;0),OR(I72=0,H72&lt;&gt;0)),IF((H72+I72+K72&lt;&gt;0),IF(AND(OR(H72&gt;0,I72&lt;0),OR(I72&gt;0,H72&lt;0)),ABS(K72/MIN(ABS(I72),ABS(H72))),10),"-"),10)</f>
        <v>-</v>
      </c>
      <c r="M72" s="45"/>
      <c r="N72" s="92"/>
      <c r="O72" s="92"/>
      <c r="P72" s="92"/>
      <c r="Q72" s="92"/>
      <c r="R72" s="92"/>
      <c r="S72" s="92"/>
      <c r="T72" s="92"/>
      <c r="U72" s="25"/>
      <c r="V72" s="25"/>
      <c r="W72" s="25"/>
    </row>
    <row r="73" spans="1:23" customFormat="1" ht="12.75" customHeight="1" x14ac:dyDescent="0.35">
      <c r="A73" s="25"/>
      <c r="B73" s="25"/>
      <c r="C73" s="25"/>
      <c r="D73" s="25"/>
      <c r="E73" s="25"/>
      <c r="F73" s="25"/>
      <c r="G73" s="25"/>
      <c r="H73" s="25"/>
      <c r="I73" s="25"/>
      <c r="J73" s="25"/>
      <c r="K73" s="25"/>
      <c r="L73" s="25"/>
      <c r="M73" s="25"/>
      <c r="N73" s="25"/>
      <c r="O73" s="25"/>
      <c r="P73" s="25"/>
      <c r="Q73" s="25"/>
      <c r="R73" s="25"/>
      <c r="S73" s="25"/>
      <c r="T73" s="25"/>
      <c r="U73" s="25"/>
      <c r="V73" s="25"/>
      <c r="W73" s="25"/>
    </row>
    <row r="74" spans="1:23" customFormat="1" ht="12.75" customHeight="1" x14ac:dyDescent="0.35">
      <c r="A74" s="25"/>
      <c r="B74" s="25"/>
      <c r="C74" s="25"/>
      <c r="D74" s="25"/>
      <c r="E74" s="25"/>
      <c r="F74" s="25"/>
      <c r="G74" s="25"/>
      <c r="H74" s="25"/>
      <c r="I74" s="25"/>
      <c r="J74" s="25"/>
      <c r="K74" s="25"/>
      <c r="L74" s="25"/>
      <c r="M74" s="25"/>
      <c r="N74" s="25"/>
      <c r="O74" s="25"/>
      <c r="P74" s="25"/>
      <c r="Q74" s="25"/>
      <c r="R74" s="25"/>
      <c r="S74" s="25"/>
      <c r="T74" s="25"/>
      <c r="U74" s="25"/>
      <c r="V74" s="25"/>
      <c r="W74" s="25"/>
    </row>
  </sheetData>
  <sheetProtection algorithmName="SHA-512" hashValue="xMGG/Z+ygx8nl8lYpp5zTn+m4mzAtBvwAb1Y5dEjFwaeZiV3BjoJVC1HFrnM8j+t3i3aYewM2nGxkiI6F0bc6w==" saltValue="slTKzHRHj+afQT2xkrdOYg==" spinCount="100000" sheet="1" objects="1"/>
  <conditionalFormatting sqref="I6:I8">
    <cfRule type="expression" dxfId="55" priority="1">
      <formula>I6&lt;&gt;J6</formula>
    </cfRule>
  </conditionalFormatting>
  <conditionalFormatting sqref="I10:I12">
    <cfRule type="expression" dxfId="54" priority="2">
      <formula>I10&lt;&gt;J10</formula>
    </cfRule>
  </conditionalFormatting>
  <conditionalFormatting sqref="I14:I15">
    <cfRule type="expression" dxfId="53" priority="3">
      <formula>I14&lt;&gt;J14</formula>
    </cfRule>
  </conditionalFormatting>
  <conditionalFormatting sqref="I19:I25">
    <cfRule type="expression" dxfId="52" priority="4">
      <formula>I19&lt;&gt;J19</formula>
    </cfRule>
  </conditionalFormatting>
  <conditionalFormatting sqref="I29:I32">
    <cfRule type="expression" dxfId="51" priority="5">
      <formula>I29&lt;&gt;J29</formula>
    </cfRule>
  </conditionalFormatting>
  <conditionalFormatting sqref="I34">
    <cfRule type="expression" dxfId="50" priority="6">
      <formula>I34&lt;&gt;J34</formula>
    </cfRule>
  </conditionalFormatting>
  <conditionalFormatting sqref="I36">
    <cfRule type="expression" dxfId="49" priority="7">
      <formula>I36&lt;&gt;J36</formula>
    </cfRule>
  </conditionalFormatting>
  <conditionalFormatting sqref="I39">
    <cfRule type="expression" dxfId="48" priority="8">
      <formula>I39&lt;&gt;J39</formula>
    </cfRule>
  </conditionalFormatting>
  <conditionalFormatting sqref="I46:I48">
    <cfRule type="expression" dxfId="47" priority="9">
      <formula>I46&lt;&gt;J46</formula>
    </cfRule>
  </conditionalFormatting>
  <conditionalFormatting sqref="I50">
    <cfRule type="expression" dxfId="46" priority="10">
      <formula>I50&lt;&gt;J50</formula>
    </cfRule>
  </conditionalFormatting>
  <conditionalFormatting sqref="I54:I55">
    <cfRule type="expression" dxfId="45" priority="11">
      <formula>I54&lt;&gt;J54</formula>
    </cfRule>
  </conditionalFormatting>
  <conditionalFormatting sqref="I61:I62">
    <cfRule type="expression" dxfId="44" priority="12">
      <formula>I61&lt;&gt;J61</formula>
    </cfRule>
  </conditionalFormatting>
  <conditionalFormatting sqref="I64:I65">
    <cfRule type="expression" dxfId="43" priority="13">
      <formula>I64&lt;&gt;J64</formula>
    </cfRule>
  </conditionalFormatting>
  <conditionalFormatting sqref="I68">
    <cfRule type="expression" dxfId="42" priority="14">
      <formula>I68&lt;&gt;J68</formula>
    </cfRule>
  </conditionalFormatting>
  <conditionalFormatting sqref="N6:O8">
    <cfRule type="expression" dxfId="41" priority="15">
      <formula>AND(OR((L6)&gt;2,(L6)&lt;-2),(L6)&lt;&gt;"-",OR((K6)&gt;750,(K6)&lt;-750))</formula>
    </cfRule>
  </conditionalFormatting>
  <conditionalFormatting sqref="N10:O12">
    <cfRule type="expression" dxfId="40" priority="16">
      <formula>AND(OR((L6)&gt;2,(L6)&lt;-2),(L6)&lt;&gt;"-",OR((K6)&gt;750,(K6)&lt;-750))</formula>
    </cfRule>
  </conditionalFormatting>
  <conditionalFormatting sqref="N14:O15">
    <cfRule type="expression" dxfId="39" priority="17">
      <formula>AND(OR((L6)&gt;2,(L6)&lt;-2),(L6)&lt;&gt;"-",OR((K6)&gt;750,(K6)&lt;-750))</formula>
    </cfRule>
  </conditionalFormatting>
  <conditionalFormatting sqref="N19:O21">
    <cfRule type="expression" dxfId="38" priority="18">
      <formula>AND(OR((L6)&gt;2,(L6)&lt;-2),(L6)&lt;&gt;"-",OR((K6)&gt;750,(K6)&lt;-750))</formula>
    </cfRule>
  </conditionalFormatting>
  <conditionalFormatting sqref="N24:O25">
    <cfRule type="expression" dxfId="37" priority="19">
      <formula>AND(OR((L6)&gt;2,(L6)&lt;-2),(L6)&lt;&gt;"-",OR((K6)&gt;750,(K6)&lt;-750))</formula>
    </cfRule>
  </conditionalFormatting>
  <conditionalFormatting sqref="N29:O32">
    <cfRule type="expression" dxfId="36" priority="20">
      <formula>AND(OR((L6)&gt;2,(L6)&lt;-2),(L6)&lt;&gt;"-",OR((K6)&gt;750,(K6)&lt;-750))</formula>
    </cfRule>
  </conditionalFormatting>
  <conditionalFormatting sqref="N34:O34">
    <cfRule type="expression" dxfId="35" priority="21">
      <formula>AND(OR((L6)&gt;2,(L6)&lt;-2),(L6)&lt;&gt;"-",OR((K6)&gt;750,(K6)&lt;-750))</formula>
    </cfRule>
  </conditionalFormatting>
  <conditionalFormatting sqref="N36:O36">
    <cfRule type="expression" dxfId="34" priority="22">
      <formula>AND(OR((L6)&gt;2,(L6)&lt;-2),(L6)&lt;&gt;"-",OR((K6)&gt;750,(K6)&lt;-750))</formula>
    </cfRule>
  </conditionalFormatting>
  <conditionalFormatting sqref="N39:O39">
    <cfRule type="expression" dxfId="33" priority="23">
      <formula>AND(OR((L6)&gt;2,(L6)&lt;-2),(L6)&lt;&gt;"-",OR((K6)&gt;750,(K6)&lt;-750))</formula>
    </cfRule>
  </conditionalFormatting>
  <conditionalFormatting sqref="N46:O48">
    <cfRule type="expression" dxfId="32" priority="24">
      <formula>AND(OR((L6)&gt;2,(L6)&lt;-2),(L6)&lt;&gt;"-",OR((K6)&gt;750,(K6)&lt;-750))</formula>
    </cfRule>
  </conditionalFormatting>
  <conditionalFormatting sqref="N50:O50">
    <cfRule type="expression" dxfId="31" priority="25">
      <formula>AND(OR((L6)&gt;2,(L6)&lt;-2),(L6)&lt;&gt;"-",OR((K6)&gt;750,(K6)&lt;-750))</formula>
    </cfRule>
  </conditionalFormatting>
  <conditionalFormatting sqref="N54:O55">
    <cfRule type="expression" dxfId="30" priority="26">
      <formula>AND(OR((L6)&gt;2,(L6)&lt;-2),(L6)&lt;&gt;"-",OR((K6)&gt;750,(K6)&lt;-750))</formula>
    </cfRule>
  </conditionalFormatting>
  <conditionalFormatting sqref="N61:O62">
    <cfRule type="expression" dxfId="29" priority="27">
      <formula>AND(OR((L6)&gt;2,(L6)&lt;-2),(L6)&lt;&gt;"-",OR((K6)&gt;750,(K6)&lt;-750))</formula>
    </cfRule>
  </conditionalFormatting>
  <conditionalFormatting sqref="N64:O65">
    <cfRule type="expression" dxfId="28" priority="28">
      <formula>AND(OR((L6)&gt;2,(L6)&lt;-2),(L6)&lt;&gt;"-",OR((K6)&gt;750,(K6)&lt;-750))</formula>
    </cfRule>
  </conditionalFormatting>
  <conditionalFormatting sqref="N68:O68">
    <cfRule type="expression" dxfId="27" priority="29">
      <formula>AND(OR((L6)&gt;2,(L6)&lt;-2),(L6)&lt;&gt;"-",OR((K6)&gt;750,(K6)&lt;-750))</formula>
    </cfRule>
  </conditionalFormatting>
  <dataValidations count="5">
    <dataValidation type="whole" operator="greaterThan" allowBlank="1" showInputMessage="1" showErrorMessage="1" promptTitle="Liabilities" prompt="should be entered as a negative" sqref="H39:J39" xr:uid="{00000000-0002-0000-0500-000000000000}">
      <formula1>-999999999</formula1>
    </dataValidation>
    <dataValidation type="whole" operator="greaterThan" allowBlank="1" showInputMessage="1" showErrorMessage="1" promptTitle="If a value is entered here…" prompt="it must be a negative value." sqref="J8" xr:uid="{00000000-0002-0000-0500-000001000000}">
      <formula1>-999999999</formula1>
    </dataValidation>
    <dataValidation type="whole" operator="greaterThan" allowBlank="1" showInputMessage="1" showErrorMessage="1" errorTitle="Whole numbers only allowed" error="All monies should be independently rounded to the nearest £1,000." sqref="H6:J7 H10:J15 H19:J25 H29:J36 H46:J50 H54:J55 H61:J62 H64:J65 H68:I68 H72:J72" xr:uid="{00000000-0002-0000-0500-000002000000}">
      <formula1>-99999999</formula1>
    </dataValidation>
    <dataValidation type="whole" allowBlank="1" showInputMessage="1" showErrorMessage="1" promptTitle="If a value is entered here…" prompt="it must be a negative value." sqref="H8" xr:uid="{00000000-0002-0000-0500-000003000000}">
      <formula1>-999999999</formula1>
      <formula2>0</formula2>
    </dataValidation>
    <dataValidation type="whole" allowBlank="1" showInputMessage="1" showErrorMessage="1" promptTitle="If a value is entered here…" prompt="it must be a negative value." sqref="I8" xr:uid="{00000000-0002-0000-0500-000004000000}">
      <formula1>-9999999999</formula1>
      <formula2>0</formula2>
    </dataValidation>
  </dataValidations>
  <printOptions headings="1" gridLines="1"/>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'Hide_me(drop_downs)'!$A$6:$A$10</xm:f>
          </x14:formula1>
          <xm:sqref>N61:O62 N39:O39 N14:O15 N36:O36 N24:O25 N68:O68 N64:O65 N6:O8 N19:O21 N10:O12 N29:O32 N34:O34 N46:O48 N50:O50 N54:O55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U42"/>
  <sheetViews>
    <sheetView workbookViewId="0">
      <selection activeCell="H20" sqref="H20"/>
    </sheetView>
  </sheetViews>
  <sheetFormatPr defaultColWidth="9.81640625" defaultRowHeight="12.5" x14ac:dyDescent="0.25"/>
  <cols>
    <col min="1" max="1" width="12.81640625" style="25" customWidth="1"/>
    <col min="2" max="2" width="3.1796875" style="25" customWidth="1"/>
    <col min="3" max="3" width="68.453125" style="25" bestFit="1" customWidth="1"/>
    <col min="4" max="4" width="3" style="25" hidden="1" customWidth="1"/>
    <col min="5" max="5" width="2.81640625" style="25" hidden="1" customWidth="1"/>
    <col min="6" max="7" width="2.1796875" style="25" hidden="1" customWidth="1"/>
    <col min="8" max="9" width="15.81640625" style="25" customWidth="1"/>
    <col min="10" max="10" width="15.81640625" style="25" hidden="1" customWidth="1"/>
    <col min="11" max="12" width="16.1796875" style="25" hidden="1" customWidth="1"/>
    <col min="13" max="13" width="4.453125" style="25" hidden="1" customWidth="1"/>
    <col min="14" max="14" width="76.81640625" style="25" bestFit="1" customWidth="1"/>
    <col min="15" max="15" width="8.54296875" style="25" hidden="1" customWidth="1"/>
    <col min="16" max="18" width="9.1796875" style="25" hidden="1" customWidth="1"/>
    <col min="19" max="19" width="12.453125" style="25" hidden="1" customWidth="1"/>
    <col min="20" max="20" width="9.1796875" style="25" hidden="1" customWidth="1"/>
    <col min="21" max="21" width="13.1796875" style="25" hidden="1" customWidth="1"/>
    <col min="22" max="22" width="9.81640625" style="25" customWidth="1"/>
    <col min="23" max="16384" width="9.81640625" style="25"/>
  </cols>
  <sheetData>
    <row r="1" spans="1:21" customFormat="1" ht="53.25" customHeight="1" thickBot="1" x14ac:dyDescent="0.4">
      <c r="A1" s="379" t="s">
        <v>757</v>
      </c>
      <c r="B1" s="380" t="s">
        <v>758</v>
      </c>
      <c r="C1" s="379"/>
      <c r="D1" s="381"/>
      <c r="E1" s="381"/>
      <c r="F1" s="381"/>
      <c r="G1" s="381"/>
      <c r="H1" s="382"/>
      <c r="I1" s="277" t="s">
        <v>599</v>
      </c>
      <c r="J1" s="278" t="s">
        <v>599</v>
      </c>
      <c r="K1" s="27"/>
      <c r="L1" s="60"/>
      <c r="M1" s="60"/>
      <c r="N1" s="27"/>
      <c r="O1" s="27"/>
      <c r="P1" s="27"/>
      <c r="Q1" s="27"/>
      <c r="R1" s="27"/>
      <c r="S1" s="279" t="str">
        <f>Title_Page!H70</f>
        <v>PASS</v>
      </c>
      <c r="T1" s="27"/>
      <c r="U1" s="279" t="str">
        <f>Title_Page!H71</f>
        <v>PASS</v>
      </c>
    </row>
    <row r="2" spans="1:21" customFormat="1" ht="48" customHeight="1" x14ac:dyDescent="0.35">
      <c r="A2" s="383"/>
      <c r="B2" s="384"/>
      <c r="C2" s="384"/>
      <c r="D2" s="384"/>
      <c r="E2" s="384"/>
      <c r="F2" s="384"/>
      <c r="G2" s="384"/>
      <c r="H2" s="385"/>
      <c r="I2" s="283" t="s">
        <v>600</v>
      </c>
      <c r="J2" s="283" t="s">
        <v>601</v>
      </c>
      <c r="K2" s="27"/>
      <c r="L2" s="60"/>
      <c r="M2" s="60"/>
      <c r="N2" s="88" t="str">
        <f>'Hide_me(drop_downs)'!I5</f>
        <v>Variance (2024/25 v. 2023/24 restated)</v>
      </c>
      <c r="O2" s="97"/>
      <c r="P2" s="63" t="s">
        <v>602</v>
      </c>
      <c r="Q2" s="64"/>
      <c r="R2" s="64"/>
      <c r="S2" s="65"/>
      <c r="T2" s="27"/>
      <c r="U2" s="27" t="s">
        <v>603</v>
      </c>
    </row>
    <row r="3" spans="1:21" customFormat="1" ht="34.4" customHeight="1" x14ac:dyDescent="0.35">
      <c r="A3" s="383"/>
      <c r="B3" s="384"/>
      <c r="C3" s="384"/>
      <c r="D3" s="384"/>
      <c r="E3" s="384"/>
      <c r="F3" s="384"/>
      <c r="G3" s="386"/>
      <c r="H3" s="355" t="str">
        <f>'Hide_me(drop_downs)'!I1</f>
        <v>Year ended 31 July 2025</v>
      </c>
      <c r="I3" s="355" t="str">
        <f>'Hide_me(drop_downs)'!J1</f>
        <v>Year ended 31 July 2024</v>
      </c>
      <c r="J3" s="355" t="str">
        <f>'Hide_me(drop_downs)'!J1</f>
        <v>Year ended 31 July 2024</v>
      </c>
      <c r="K3" s="27"/>
      <c r="L3" s="61"/>
      <c r="M3" s="61"/>
      <c r="N3" s="66" t="s">
        <v>604</v>
      </c>
      <c r="O3" s="66"/>
      <c r="P3" s="67"/>
      <c r="Q3" s="27"/>
      <c r="R3" s="27"/>
      <c r="S3" s="65"/>
      <c r="T3" s="27"/>
      <c r="U3" s="27" t="s">
        <v>605</v>
      </c>
    </row>
    <row r="4" spans="1:21" customFormat="1" ht="15.65" customHeight="1" thickBot="1" x14ac:dyDescent="0.4">
      <c r="A4" s="383"/>
      <c r="B4" s="384"/>
      <c r="C4" s="384"/>
      <c r="D4" s="384"/>
      <c r="E4" s="384"/>
      <c r="F4" s="384"/>
      <c r="G4" s="386"/>
      <c r="H4" s="355" t="s">
        <v>607</v>
      </c>
      <c r="I4" s="355" t="s">
        <v>607</v>
      </c>
      <c r="J4" s="355" t="s">
        <v>607</v>
      </c>
      <c r="K4" s="27"/>
      <c r="L4" s="61"/>
      <c r="M4" s="61"/>
      <c r="N4" s="8" t="s">
        <v>609</v>
      </c>
      <c r="O4" s="8"/>
      <c r="P4" s="68" t="s">
        <v>610</v>
      </c>
      <c r="Q4" s="27"/>
      <c r="R4" s="27"/>
      <c r="S4" s="65"/>
      <c r="T4" s="27"/>
      <c r="U4" s="68" t="s">
        <v>230</v>
      </c>
    </row>
    <row r="5" spans="1:21" customFormat="1" ht="14.75" customHeight="1" thickBot="1" x14ac:dyDescent="0.4">
      <c r="A5" s="387"/>
      <c r="B5" s="295" t="s">
        <v>697</v>
      </c>
      <c r="C5" s="296"/>
      <c r="D5" s="296"/>
      <c r="E5" s="296"/>
      <c r="F5" s="296"/>
      <c r="G5" s="297"/>
      <c r="H5" s="298"/>
      <c r="I5" s="298"/>
      <c r="J5" s="298"/>
      <c r="K5" s="60" t="s">
        <v>607</v>
      </c>
      <c r="L5" s="60" t="s">
        <v>608</v>
      </c>
      <c r="M5" s="60"/>
      <c r="N5" s="60" t="s">
        <v>612</v>
      </c>
      <c r="O5" s="60"/>
      <c r="S5" s="279" t="str">
        <f>IF(S1="FAIL","Head","")</f>
        <v/>
      </c>
      <c r="T5" s="60"/>
      <c r="U5" s="279" t="str">
        <f>IF(U1="FAIL","Head","")</f>
        <v/>
      </c>
    </row>
    <row r="6" spans="1:21" customFormat="1" ht="12.75" customHeight="1" thickBot="1" x14ac:dyDescent="0.4">
      <c r="A6" s="387">
        <v>1</v>
      </c>
      <c r="B6" s="100" t="s">
        <v>688</v>
      </c>
      <c r="C6" s="359"/>
      <c r="D6" s="359"/>
      <c r="E6" s="359"/>
      <c r="F6" s="359"/>
      <c r="G6" s="4"/>
      <c r="H6" s="81"/>
      <c r="I6" s="81"/>
      <c r="J6" s="81"/>
      <c r="K6" s="69" t="s">
        <v>230</v>
      </c>
      <c r="L6" s="69" t="s">
        <v>230</v>
      </c>
      <c r="M6" s="69"/>
    </row>
    <row r="7" spans="1:21" customFormat="1" ht="12.75" customHeight="1" thickBot="1" x14ac:dyDescent="0.4">
      <c r="A7" s="294" t="s">
        <v>613</v>
      </c>
      <c r="B7" s="79"/>
      <c r="C7" s="358" t="s">
        <v>759</v>
      </c>
      <c r="D7" s="359"/>
      <c r="E7" s="359"/>
      <c r="F7" s="359"/>
      <c r="G7" s="121"/>
      <c r="H7" s="11">
        <v>0</v>
      </c>
      <c r="I7" s="11">
        <v>0</v>
      </c>
      <c r="J7" s="96">
        <v>0</v>
      </c>
      <c r="K7" s="41">
        <f t="shared" ref="K7:K12" si="0">H7-I7</f>
        <v>0</v>
      </c>
      <c r="L7" s="43" t="str">
        <f t="shared" ref="L7:L12" si="1">IF(AND(OR(H7=0,I7&lt;&gt;0),OR(I7=0,H7&lt;&gt;0)),IF((H7+I7+K7&lt;&gt;0),IF(AND(OR(H7&gt;0,I7&lt;0),OR(I7&gt;0,H7&lt;0)),ABS(K7/MIN(ABS(I7),ABS(H7))),10),"-"),10)</f>
        <v>-</v>
      </c>
      <c r="M7" s="45"/>
      <c r="N7" s="90"/>
      <c r="O7" s="91"/>
      <c r="P7" s="27">
        <f>IF(AND(K7&gt;750,L7&gt;2),1,0)</f>
        <v>0</v>
      </c>
      <c r="Q7" s="27">
        <f>IF(AND(K7&lt;-750,L7&gt;2),1,0)</f>
        <v>0</v>
      </c>
      <c r="R7" s="27">
        <f>SUM(P7:Q7)</f>
        <v>0</v>
      </c>
      <c r="S7" s="75" t="str">
        <f>IF(R7&lt;&gt;0,A7&amp;" ("&amp;H7&amp;", "&amp;I7&amp;")"&amp;", ","")</f>
        <v/>
      </c>
      <c r="T7" s="27"/>
      <c r="U7" s="75" t="str">
        <f>IF(I7&lt;&gt;J7,A7&amp;" ("&amp;I7&amp;", "&amp;J7&amp;")"&amp;", ","")</f>
        <v/>
      </c>
    </row>
    <row r="8" spans="1:21" customFormat="1" ht="12.75" customHeight="1" thickBot="1" x14ac:dyDescent="0.4">
      <c r="A8" s="294" t="s">
        <v>615</v>
      </c>
      <c r="B8" s="79"/>
      <c r="C8" s="358" t="s">
        <v>760</v>
      </c>
      <c r="D8" s="359"/>
      <c r="E8" s="359"/>
      <c r="F8" s="359"/>
      <c r="G8" s="121"/>
      <c r="H8" s="11">
        <v>0</v>
      </c>
      <c r="I8" s="11">
        <v>0</v>
      </c>
      <c r="J8" s="96">
        <v>0</v>
      </c>
      <c r="K8" s="41">
        <f t="shared" si="0"/>
        <v>0</v>
      </c>
      <c r="L8" s="43" t="str">
        <f t="shared" si="1"/>
        <v>-</v>
      </c>
      <c r="M8" s="45"/>
      <c r="N8" s="90"/>
      <c r="O8" s="91"/>
      <c r="P8" s="27">
        <f>IF(AND(K8&gt;750,L8&gt;2),1,0)</f>
        <v>0</v>
      </c>
      <c r="Q8" s="27">
        <f>IF(AND(K8&lt;-750,L8&gt;2),1,0)</f>
        <v>0</v>
      </c>
      <c r="R8" s="27">
        <f>SUM(P8:Q8)</f>
        <v>0</v>
      </c>
      <c r="S8" s="75" t="str">
        <f>IF(R8&lt;&gt;0,A8&amp;" ("&amp;H8&amp;", "&amp;I8&amp;")"&amp;", ","")</f>
        <v/>
      </c>
      <c r="T8" s="27"/>
      <c r="U8" s="75" t="str">
        <f>IF(I8&lt;&gt;J8,A8&amp;" ("&amp;I8&amp;", "&amp;J8&amp;")"&amp;", ","")</f>
        <v/>
      </c>
    </row>
    <row r="9" spans="1:21" customFormat="1" ht="12.75" customHeight="1" thickBot="1" x14ac:dyDescent="0.4">
      <c r="A9" s="294" t="s">
        <v>617</v>
      </c>
      <c r="B9" s="79"/>
      <c r="C9" s="358" t="s">
        <v>761</v>
      </c>
      <c r="D9" s="359"/>
      <c r="E9" s="359"/>
      <c r="F9" s="359"/>
      <c r="G9" s="121"/>
      <c r="H9" s="11">
        <v>0</v>
      </c>
      <c r="I9" s="11">
        <v>0</v>
      </c>
      <c r="J9" s="96">
        <v>0</v>
      </c>
      <c r="K9" s="41">
        <f t="shared" si="0"/>
        <v>0</v>
      </c>
      <c r="L9" s="43" t="str">
        <f t="shared" si="1"/>
        <v>-</v>
      </c>
      <c r="M9" s="45"/>
      <c r="N9" s="90"/>
      <c r="O9" s="91"/>
      <c r="P9" s="27">
        <f>IF(AND(K9&gt;750,L9&gt;2),1,0)</f>
        <v>0</v>
      </c>
      <c r="Q9" s="27">
        <f>IF(AND(K9&lt;-750,L9&gt;2),1,0)</f>
        <v>0</v>
      </c>
      <c r="R9" s="27">
        <f>SUM(P9:Q9)</f>
        <v>0</v>
      </c>
      <c r="S9" s="75" t="str">
        <f>IF(R9&lt;&gt;0,A9&amp;" ("&amp;H9&amp;", "&amp;I9&amp;")"&amp;", ","")</f>
        <v/>
      </c>
      <c r="T9" s="27"/>
      <c r="U9" s="75" t="str">
        <f>IF(I9&lt;&gt;J9,A9&amp;" ("&amp;I9&amp;", "&amp;J9&amp;")"&amp;", ","")</f>
        <v/>
      </c>
    </row>
    <row r="10" spans="1:21" customFormat="1" ht="12.75" customHeight="1" thickBot="1" x14ac:dyDescent="0.4">
      <c r="A10" s="294" t="s">
        <v>619</v>
      </c>
      <c r="B10" s="79"/>
      <c r="C10" s="358" t="s">
        <v>762</v>
      </c>
      <c r="D10" s="359"/>
      <c r="E10" s="359"/>
      <c r="F10" s="359"/>
      <c r="G10" s="121"/>
      <c r="H10" s="11">
        <v>0</v>
      </c>
      <c r="I10" s="11">
        <v>0</v>
      </c>
      <c r="J10" s="96">
        <v>0</v>
      </c>
      <c r="K10" s="41">
        <f t="shared" si="0"/>
        <v>0</v>
      </c>
      <c r="L10" s="43" t="str">
        <f t="shared" si="1"/>
        <v>-</v>
      </c>
      <c r="M10" s="45"/>
      <c r="N10" s="90"/>
      <c r="O10" s="91"/>
      <c r="P10" s="27">
        <f>IF(AND(K10&gt;750,L10&gt;2),1,0)</f>
        <v>0</v>
      </c>
      <c r="Q10" s="27">
        <f>IF(AND(K10&lt;-750,L10&gt;2),1,0)</f>
        <v>0</v>
      </c>
      <c r="R10" s="27">
        <f>SUM(P10:Q10)</f>
        <v>0</v>
      </c>
      <c r="S10" s="75" t="str">
        <f>IF(R10&lt;&gt;0,A10&amp;" ("&amp;H10&amp;", "&amp;I10&amp;")"&amp;", ","")</f>
        <v/>
      </c>
      <c r="T10" s="27"/>
      <c r="U10" s="75" t="str">
        <f>IF(I10&lt;&gt;J10,A10&amp;" ("&amp;I10&amp;", "&amp;J10&amp;")"&amp;", ","")</f>
        <v/>
      </c>
    </row>
    <row r="11" spans="1:21" customFormat="1" ht="12.75" customHeight="1" thickBot="1" x14ac:dyDescent="0.4">
      <c r="A11" s="294" t="s">
        <v>621</v>
      </c>
      <c r="B11" s="79"/>
      <c r="C11" s="358" t="s">
        <v>763</v>
      </c>
      <c r="D11" s="359"/>
      <c r="E11" s="359"/>
      <c r="F11" s="359"/>
      <c r="G11" s="121"/>
      <c r="H11" s="11">
        <v>139000</v>
      </c>
      <c r="I11" s="11">
        <v>139000</v>
      </c>
      <c r="J11" s="96">
        <v>139000</v>
      </c>
      <c r="K11" s="41">
        <f t="shared" si="0"/>
        <v>0</v>
      </c>
      <c r="L11" s="43">
        <f t="shared" si="1"/>
        <v>0</v>
      </c>
      <c r="M11" s="45"/>
      <c r="N11" s="90"/>
      <c r="O11" s="91"/>
      <c r="P11" s="27">
        <f>IF(AND(K11&gt;750,L11&gt;2),1,0)</f>
        <v>0</v>
      </c>
      <c r="Q11" s="27">
        <f>IF(AND(K11&lt;-750,L11&gt;2),1,0)</f>
        <v>0</v>
      </c>
      <c r="R11" s="27">
        <f>SUM(P11:Q11)</f>
        <v>0</v>
      </c>
      <c r="S11" s="75" t="str">
        <f>IF(R11&lt;&gt;0,A11&amp;" ("&amp;H11&amp;", "&amp;I11&amp;")"&amp;", ","")</f>
        <v/>
      </c>
      <c r="T11" s="27"/>
      <c r="U11" s="75" t="str">
        <f>IF(I11&lt;&gt;J11,A11&amp;" ("&amp;I11&amp;", "&amp;J11&amp;")"&amp;", ","")</f>
        <v/>
      </c>
    </row>
    <row r="12" spans="1:21" customFormat="1" ht="12.75" customHeight="1" x14ac:dyDescent="0.35">
      <c r="A12" s="294" t="s">
        <v>623</v>
      </c>
      <c r="B12" s="316" t="s">
        <v>764</v>
      </c>
      <c r="C12" s="363"/>
      <c r="D12" s="363"/>
      <c r="E12" s="363"/>
      <c r="F12" s="363"/>
      <c r="G12" s="376"/>
      <c r="H12" s="310">
        <f>SUM(H7:H11)</f>
        <v>139000</v>
      </c>
      <c r="I12" s="310">
        <f>SUM(I7:I11)</f>
        <v>139000</v>
      </c>
      <c r="J12" s="310">
        <f>SUM(J7:J11)</f>
        <v>139000</v>
      </c>
      <c r="K12" s="45">
        <f t="shared" si="0"/>
        <v>0</v>
      </c>
      <c r="L12" s="45">
        <f t="shared" si="1"/>
        <v>0</v>
      </c>
      <c r="M12" s="45"/>
      <c r="N12" s="92"/>
      <c r="O12" s="92"/>
    </row>
    <row r="13" spans="1:21" customFormat="1" ht="12.75" customHeight="1" x14ac:dyDescent="0.35">
      <c r="A13" s="294"/>
      <c r="B13" s="100"/>
      <c r="C13" s="359"/>
      <c r="D13" s="359"/>
      <c r="E13" s="359"/>
      <c r="F13" s="359"/>
      <c r="G13" s="4"/>
      <c r="H13" s="81"/>
      <c r="I13" s="81"/>
      <c r="J13" s="81"/>
      <c r="K13" s="45"/>
      <c r="L13" s="45"/>
      <c r="M13" s="45"/>
    </row>
    <row r="14" spans="1:21" customFormat="1" ht="12.75" customHeight="1" thickBot="1" x14ac:dyDescent="0.4">
      <c r="A14" s="294">
        <v>2</v>
      </c>
      <c r="B14" s="100" t="s">
        <v>700</v>
      </c>
      <c r="C14" s="359"/>
      <c r="D14" s="359"/>
      <c r="E14" s="359"/>
      <c r="F14" s="359"/>
      <c r="G14" s="4"/>
      <c r="H14" s="81"/>
      <c r="I14" s="81"/>
      <c r="J14" s="81"/>
      <c r="K14" s="45"/>
      <c r="L14" s="45"/>
      <c r="M14" s="45"/>
    </row>
    <row r="15" spans="1:21" customFormat="1" ht="12.75" customHeight="1" thickBot="1" x14ac:dyDescent="0.4">
      <c r="A15" s="294" t="s">
        <v>628</v>
      </c>
      <c r="B15" s="79"/>
      <c r="C15" s="358" t="s">
        <v>759</v>
      </c>
      <c r="D15" s="359"/>
      <c r="E15" s="359"/>
      <c r="F15" s="359"/>
      <c r="G15" s="121"/>
      <c r="H15" s="11">
        <v>0</v>
      </c>
      <c r="I15" s="11">
        <v>0</v>
      </c>
      <c r="J15" s="96">
        <v>0</v>
      </c>
      <c r="K15" s="41">
        <f t="shared" ref="K15:K20" si="2">H15-I15</f>
        <v>0</v>
      </c>
      <c r="L15" s="43" t="str">
        <f t="shared" ref="L15:L20" si="3">IF(AND(OR(H15=0,I15&lt;&gt;0),OR(I15=0,H15&lt;&gt;0)),IF((H15+I15+K15&lt;&gt;0),IF(AND(OR(H15&gt;0,I15&lt;0),OR(I15&gt;0,H15&lt;0)),ABS(K15/MIN(ABS(I15),ABS(H15))),10),"-"),10)</f>
        <v>-</v>
      </c>
      <c r="M15" s="45"/>
      <c r="N15" s="90"/>
      <c r="O15" s="91"/>
      <c r="P15" s="27">
        <f>IF(AND(K15&gt;750,L15&gt;2),1,0)</f>
        <v>0</v>
      </c>
      <c r="Q15" s="27">
        <f>IF(AND(K15&lt;-750,L15&gt;2),1,0)</f>
        <v>0</v>
      </c>
      <c r="R15" s="27">
        <f>SUM(P15:Q15)</f>
        <v>0</v>
      </c>
      <c r="S15" s="75" t="str">
        <f>IF(R15&lt;&gt;0,A15&amp;" ("&amp;H15&amp;", "&amp;I15&amp;")"&amp;", ","")</f>
        <v/>
      </c>
      <c r="T15" s="27"/>
      <c r="U15" s="75" t="str">
        <f>IF(I15&lt;&gt;J15,A15&amp;" ("&amp;I15&amp;", "&amp;J15&amp;")"&amp;", ","")</f>
        <v/>
      </c>
    </row>
    <row r="16" spans="1:21" customFormat="1" ht="12.75" customHeight="1" thickBot="1" x14ac:dyDescent="0.4">
      <c r="A16" s="294" t="s">
        <v>630</v>
      </c>
      <c r="B16" s="79"/>
      <c r="C16" s="358" t="s">
        <v>760</v>
      </c>
      <c r="D16" s="359"/>
      <c r="E16" s="359"/>
      <c r="F16" s="359"/>
      <c r="G16" s="121"/>
      <c r="H16" s="11">
        <v>0</v>
      </c>
      <c r="I16" s="11">
        <v>0</v>
      </c>
      <c r="J16" s="96">
        <v>0</v>
      </c>
      <c r="K16" s="41">
        <f t="shared" si="2"/>
        <v>0</v>
      </c>
      <c r="L16" s="43" t="str">
        <f t="shared" si="3"/>
        <v>-</v>
      </c>
      <c r="M16" s="45"/>
      <c r="N16" s="90"/>
      <c r="O16" s="91"/>
      <c r="P16" s="27">
        <f>IF(AND(K16&gt;750,L16&gt;2),1,0)</f>
        <v>0</v>
      </c>
      <c r="Q16" s="27">
        <f>IF(AND(K16&lt;-750,L16&gt;2),1,0)</f>
        <v>0</v>
      </c>
      <c r="R16" s="27">
        <f>SUM(P16:Q16)</f>
        <v>0</v>
      </c>
      <c r="S16" s="75" t="str">
        <f>IF(R16&lt;&gt;0,A16&amp;" ("&amp;H16&amp;", "&amp;I16&amp;")"&amp;", ","")</f>
        <v/>
      </c>
      <c r="T16" s="27"/>
      <c r="U16" s="75" t="str">
        <f>IF(I16&lt;&gt;J16,A16&amp;" ("&amp;I16&amp;", "&amp;J16&amp;")"&amp;", ","")</f>
        <v/>
      </c>
    </row>
    <row r="17" spans="1:21" customFormat="1" ht="12.75" customHeight="1" thickBot="1" x14ac:dyDescent="0.4">
      <c r="A17" s="294" t="s">
        <v>632</v>
      </c>
      <c r="B17" s="79"/>
      <c r="C17" s="358" t="s">
        <v>761</v>
      </c>
      <c r="D17" s="359"/>
      <c r="E17" s="359"/>
      <c r="F17" s="359"/>
      <c r="G17" s="121"/>
      <c r="H17" s="11">
        <v>0</v>
      </c>
      <c r="I17" s="11">
        <v>0</v>
      </c>
      <c r="J17" s="96">
        <v>0</v>
      </c>
      <c r="K17" s="41">
        <f t="shared" si="2"/>
        <v>0</v>
      </c>
      <c r="L17" s="43" t="str">
        <f t="shared" si="3"/>
        <v>-</v>
      </c>
      <c r="M17" s="45"/>
      <c r="N17" s="90"/>
      <c r="O17" s="91"/>
      <c r="P17" s="27">
        <f>IF(AND(K17&gt;750,L17&gt;2),1,0)</f>
        <v>0</v>
      </c>
      <c r="Q17" s="27">
        <f>IF(AND(K17&lt;-750,L17&gt;2),1,0)</f>
        <v>0</v>
      </c>
      <c r="R17" s="27">
        <f>SUM(P17:Q17)</f>
        <v>0</v>
      </c>
      <c r="S17" s="75" t="str">
        <f>IF(R17&lt;&gt;0,A17&amp;" ("&amp;H17&amp;", "&amp;I17&amp;")"&amp;", ","")</f>
        <v/>
      </c>
      <c r="T17" s="27"/>
      <c r="U17" s="75" t="str">
        <f>IF(I17&lt;&gt;J17,A17&amp;" ("&amp;I17&amp;", "&amp;J17&amp;")"&amp;", ","")</f>
        <v/>
      </c>
    </row>
    <row r="18" spans="1:21" customFormat="1" ht="12.75" customHeight="1" thickBot="1" x14ac:dyDescent="0.4">
      <c r="A18" s="294" t="s">
        <v>634</v>
      </c>
      <c r="B18" s="79"/>
      <c r="C18" s="358" t="s">
        <v>762</v>
      </c>
      <c r="D18" s="359"/>
      <c r="E18" s="359"/>
      <c r="F18" s="359"/>
      <c r="G18" s="121"/>
      <c r="H18" s="11">
        <v>0</v>
      </c>
      <c r="I18" s="11">
        <v>0</v>
      </c>
      <c r="J18" s="96">
        <v>0</v>
      </c>
      <c r="K18" s="41">
        <f t="shared" si="2"/>
        <v>0</v>
      </c>
      <c r="L18" s="43" t="str">
        <f t="shared" si="3"/>
        <v>-</v>
      </c>
      <c r="M18" s="45"/>
      <c r="N18" s="90"/>
      <c r="O18" s="91"/>
      <c r="P18" s="27">
        <f>IF(AND(K18&gt;750,L18&gt;2),1,0)</f>
        <v>0</v>
      </c>
      <c r="Q18" s="27">
        <f>IF(AND(K18&lt;-750,L18&gt;2),1,0)</f>
        <v>0</v>
      </c>
      <c r="R18" s="27">
        <f>SUM(P18:Q18)</f>
        <v>0</v>
      </c>
      <c r="S18" s="75" t="str">
        <f>IF(R18&lt;&gt;0,A18&amp;" ("&amp;H18&amp;", "&amp;I18&amp;")"&amp;", ","")</f>
        <v/>
      </c>
      <c r="T18" s="27"/>
      <c r="U18" s="75" t="str">
        <f>IF(I18&lt;&gt;J18,A18&amp;" ("&amp;I18&amp;", "&amp;J18&amp;")"&amp;", ","")</f>
        <v/>
      </c>
    </row>
    <row r="19" spans="1:21" customFormat="1" ht="12.75" customHeight="1" thickBot="1" x14ac:dyDescent="0.4">
      <c r="A19" s="294" t="s">
        <v>636</v>
      </c>
      <c r="B19" s="79"/>
      <c r="C19" s="358" t="s">
        <v>765</v>
      </c>
      <c r="D19" s="359"/>
      <c r="E19" s="359"/>
      <c r="F19" s="359"/>
      <c r="G19" s="121"/>
      <c r="H19" s="11">
        <v>216998</v>
      </c>
      <c r="I19" s="11">
        <v>240086</v>
      </c>
      <c r="J19" s="96">
        <v>240086</v>
      </c>
      <c r="K19" s="41">
        <f t="shared" si="2"/>
        <v>-23088</v>
      </c>
      <c r="L19" s="43">
        <f t="shared" si="3"/>
        <v>0.10639729398427636</v>
      </c>
      <c r="M19" s="45"/>
      <c r="N19" s="90"/>
      <c r="O19" s="91"/>
      <c r="P19" s="27">
        <f>IF(AND(K19&gt;750,L19&gt;2),1,0)</f>
        <v>0</v>
      </c>
      <c r="Q19" s="27">
        <f>IF(AND(K19&lt;-750,L19&gt;2),1,0)</f>
        <v>0</v>
      </c>
      <c r="R19" s="27">
        <f>SUM(P19:Q19)</f>
        <v>0</v>
      </c>
      <c r="S19" s="75" t="str">
        <f>IF(R19&lt;&gt;0,A19&amp;" ("&amp;H19&amp;", "&amp;I19&amp;")"&amp;", ","")</f>
        <v/>
      </c>
      <c r="T19" s="27"/>
      <c r="U19" s="75" t="str">
        <f>IF(I19&lt;&gt;J19,A19&amp;" ("&amp;I19&amp;", "&amp;J19&amp;")"&amp;", ","")</f>
        <v/>
      </c>
    </row>
    <row r="20" spans="1:21" customFormat="1" ht="12.75" customHeight="1" x14ac:dyDescent="0.35">
      <c r="A20" s="294" t="s">
        <v>638</v>
      </c>
      <c r="B20" s="316" t="s">
        <v>766</v>
      </c>
      <c r="C20" s="363"/>
      <c r="D20" s="363"/>
      <c r="E20" s="363"/>
      <c r="F20" s="363"/>
      <c r="G20" s="376"/>
      <c r="H20" s="310">
        <f>SUM(H15:H19)</f>
        <v>216998</v>
      </c>
      <c r="I20" s="310">
        <f>SUM(I15:I19)</f>
        <v>240086</v>
      </c>
      <c r="J20" s="310">
        <f>SUM(J15:J19)</f>
        <v>240086</v>
      </c>
      <c r="K20" s="45">
        <f t="shared" si="2"/>
        <v>-23088</v>
      </c>
      <c r="L20" s="45">
        <f t="shared" si="3"/>
        <v>0.10639729398427636</v>
      </c>
      <c r="M20" s="45"/>
      <c r="N20" s="92"/>
      <c r="O20" s="92"/>
    </row>
    <row r="21" spans="1:21" customFormat="1" ht="12.75" customHeight="1" x14ac:dyDescent="0.35">
      <c r="A21" s="294"/>
      <c r="B21" s="100"/>
      <c r="C21" s="359"/>
      <c r="D21" s="359"/>
      <c r="E21" s="359"/>
      <c r="F21" s="359"/>
      <c r="G21" s="4"/>
      <c r="H21" s="81"/>
      <c r="I21" s="81"/>
      <c r="J21" s="81"/>
      <c r="K21" s="45"/>
      <c r="L21" s="45"/>
      <c r="M21" s="45"/>
    </row>
    <row r="22" spans="1:21" ht="13" x14ac:dyDescent="0.3">
      <c r="A22" s="294"/>
      <c r="B22" s="295" t="s">
        <v>767</v>
      </c>
      <c r="C22" s="369"/>
      <c r="D22" s="388"/>
      <c r="E22" s="388"/>
      <c r="F22" s="388"/>
      <c r="G22" s="389"/>
      <c r="H22" s="390"/>
      <c r="I22" s="390"/>
    </row>
    <row r="23" spans="1:21" x14ac:dyDescent="0.25">
      <c r="A23" s="294">
        <v>3</v>
      </c>
      <c r="B23" s="391" t="s">
        <v>707</v>
      </c>
      <c r="C23" s="301"/>
      <c r="D23" s="392"/>
      <c r="E23" s="367"/>
      <c r="F23" s="367"/>
      <c r="G23" s="368"/>
      <c r="H23" s="19"/>
      <c r="I23" s="19"/>
    </row>
    <row r="24" spans="1:21" x14ac:dyDescent="0.25">
      <c r="A24" s="294" t="s">
        <v>123</v>
      </c>
      <c r="B24" s="300"/>
      <c r="C24" s="301" t="s">
        <v>768</v>
      </c>
      <c r="D24" s="392"/>
      <c r="E24" s="367"/>
      <c r="F24" s="367"/>
      <c r="G24" s="368"/>
      <c r="H24" s="11">
        <v>0</v>
      </c>
      <c r="I24" s="11">
        <v>0</v>
      </c>
      <c r="J24" s="25">
        <v>0</v>
      </c>
    </row>
    <row r="25" spans="1:21" customFormat="1" ht="12.75" customHeight="1" x14ac:dyDescent="0.35">
      <c r="A25" s="294"/>
      <c r="B25" s="100"/>
      <c r="C25" s="359"/>
      <c r="D25" s="359"/>
      <c r="E25" s="359"/>
      <c r="F25" s="359"/>
      <c r="G25" s="4"/>
      <c r="H25" s="81"/>
      <c r="I25" s="81"/>
      <c r="J25" s="81"/>
      <c r="K25" s="45"/>
      <c r="L25" s="45"/>
      <c r="M25" s="45"/>
    </row>
    <row r="26" spans="1:21" ht="13" x14ac:dyDescent="0.3">
      <c r="A26" s="294"/>
      <c r="B26" s="295" t="s">
        <v>767</v>
      </c>
      <c r="C26" s="369"/>
      <c r="D26" s="388"/>
      <c r="E26" s="388"/>
      <c r="F26" s="388"/>
      <c r="G26" s="389"/>
      <c r="H26" s="390"/>
      <c r="I26" s="390"/>
    </row>
    <row r="27" spans="1:21" x14ac:dyDescent="0.25">
      <c r="A27" s="294">
        <v>4</v>
      </c>
      <c r="B27" s="391" t="s">
        <v>769</v>
      </c>
      <c r="C27" s="301"/>
      <c r="D27" s="392"/>
      <c r="E27" s="367"/>
      <c r="F27" s="367"/>
      <c r="G27" s="368"/>
      <c r="H27" s="19"/>
      <c r="I27" s="19"/>
    </row>
    <row r="28" spans="1:21" x14ac:dyDescent="0.25">
      <c r="A28" s="294" t="s">
        <v>770</v>
      </c>
      <c r="B28" s="300"/>
      <c r="C28" s="301" t="s">
        <v>768</v>
      </c>
      <c r="D28" s="392"/>
      <c r="E28" s="367"/>
      <c r="F28" s="367"/>
      <c r="G28" s="368"/>
      <c r="H28" s="11">
        <v>0</v>
      </c>
      <c r="I28" s="11">
        <v>0</v>
      </c>
      <c r="J28" s="25">
        <v>0</v>
      </c>
    </row>
    <row r="42" spans="3:3" x14ac:dyDescent="0.25">
      <c r="C42" s="141"/>
    </row>
  </sheetData>
  <sheetProtection algorithmName="SHA-512" hashValue="Y1cdcl3sQmVBRVNSnlXZ8dUBbCnAjjl2gT6qmLpcZqHhH7UL3BaCO8kxVHc/NuyYfWs6EoO5UE1yfMPZNpB1Ng==" saltValue="KZ3GcoF4rW0b4yZzPYAFFA==" spinCount="100000" sheet="1" objects="1"/>
  <conditionalFormatting sqref="I7:I11">
    <cfRule type="expression" dxfId="26" priority="1">
      <formula>I7&lt;&gt;J7</formula>
    </cfRule>
  </conditionalFormatting>
  <conditionalFormatting sqref="I15:I19">
    <cfRule type="expression" dxfId="25" priority="2">
      <formula>I15&lt;&gt;J15</formula>
    </cfRule>
  </conditionalFormatting>
  <conditionalFormatting sqref="N7:O11">
    <cfRule type="expression" dxfId="24" priority="3">
      <formula>AND(OR((L7)&gt;2,(L7)&lt;-2),(L7)&lt;&gt;"-",OR((K7)&gt;750,(K7)&lt;-750))</formula>
    </cfRule>
  </conditionalFormatting>
  <conditionalFormatting sqref="N15:O19">
    <cfRule type="expression" dxfId="23" priority="4">
      <formula>AND(OR((L15)&gt;2,(L15)&lt;-2),(L15)&lt;&gt;"-",OR((K15)&gt;750,(K15)&lt;-750))</formula>
    </cfRule>
  </conditionalFormatting>
  <dataValidations count="1">
    <dataValidation type="whole" operator="greaterThan" allowBlank="1" showInputMessage="1" showErrorMessage="1" errorTitle="Whole numbers only allowed" error="All monies should be independently rounded to the nearest £1,000." sqref="H7:J11 H15:J19 H23:I24 H27:I28" xr:uid="{00000000-0002-0000-0600-000000000000}">
      <formula1>-99999999</formula1>
    </dataValidation>
  </dataValidations>
  <printOptions headings="1" gridLines="1"/>
  <pageMargins left="0.70866141732283472" right="0.70866141732283472"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'Hide_me(drop_downs)'!$A$6:$A$10</xm:f>
          </x14:formula1>
          <xm:sqref>N15:O19 N7:O11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X71"/>
  <sheetViews>
    <sheetView workbookViewId="0">
      <pane ySplit="4" topLeftCell="A47" activePane="bottomLeft" state="frozenSplit"/>
      <selection activeCell="P23" sqref="P23 P23:Q23"/>
      <selection pane="bottomLeft" activeCell="H16" sqref="H16"/>
    </sheetView>
  </sheetViews>
  <sheetFormatPr defaultColWidth="9.1796875" defaultRowHeight="12.5" x14ac:dyDescent="0.25"/>
  <cols>
    <col min="1" max="1" width="10.453125" style="84" customWidth="1"/>
    <col min="2" max="2" width="2.1796875" style="27" customWidth="1"/>
    <col min="3" max="3" width="64.81640625" style="27" customWidth="1"/>
    <col min="4" max="4" width="1.81640625" style="27" hidden="1" customWidth="1"/>
    <col min="5" max="6" width="1.54296875" style="27" hidden="1" customWidth="1"/>
    <col min="7" max="7" width="2.453125" style="27" hidden="1" customWidth="1"/>
    <col min="8" max="9" width="16.1796875" style="27" customWidth="1"/>
    <col min="10" max="10" width="17" style="27" hidden="1" customWidth="1"/>
    <col min="11" max="12" width="16.1796875" style="27" hidden="1" customWidth="1"/>
    <col min="13" max="13" width="8.453125" style="27" hidden="1" customWidth="1"/>
    <col min="14" max="14" width="81.81640625" style="27" customWidth="1"/>
    <col min="15" max="15" width="10.54296875" style="27" hidden="1" customWidth="1"/>
    <col min="16" max="18" width="8.1796875" style="27" hidden="1" customWidth="1"/>
    <col min="19" max="19" width="11.54296875" style="27" hidden="1" customWidth="1"/>
    <col min="20" max="20" width="8.1796875" style="27" hidden="1" customWidth="1"/>
    <col min="21" max="21" width="13.81640625" style="27" hidden="1" customWidth="1"/>
    <col min="22" max="22" width="9.1796875" style="27" hidden="1" customWidth="1"/>
    <col min="23" max="23" width="65.453125" style="27" hidden="1" customWidth="1"/>
    <col min="24" max="24" width="9.1796875" style="27" customWidth="1"/>
    <col min="25" max="16384" width="9.1796875" style="27"/>
  </cols>
  <sheetData>
    <row r="1" spans="1:24" customFormat="1" ht="54.75" customHeight="1" thickBot="1" x14ac:dyDescent="0.4">
      <c r="A1" s="343" t="s">
        <v>771</v>
      </c>
      <c r="B1" s="679" t="s">
        <v>772</v>
      </c>
      <c r="C1" s="679"/>
      <c r="D1" s="345"/>
      <c r="E1" s="345"/>
      <c r="F1" s="345"/>
      <c r="G1" s="345"/>
      <c r="H1" s="345"/>
      <c r="I1" s="277" t="s">
        <v>599</v>
      </c>
      <c r="J1" s="278" t="s">
        <v>599</v>
      </c>
      <c r="K1" s="25"/>
      <c r="L1" s="60"/>
      <c r="M1" s="60"/>
      <c r="N1" s="25"/>
      <c r="O1" s="25"/>
      <c r="P1" s="25"/>
      <c r="Q1" s="25"/>
      <c r="R1" s="25"/>
      <c r="S1" s="279"/>
      <c r="T1" s="25"/>
      <c r="U1" s="279" t="str">
        <f>Title_Page!H82</f>
        <v>PASS</v>
      </c>
      <c r="V1" s="25"/>
      <c r="W1" s="25"/>
      <c r="X1" s="25"/>
    </row>
    <row r="2" spans="1:24" customFormat="1" ht="45.5" customHeight="1" x14ac:dyDescent="0.35">
      <c r="A2" s="280"/>
      <c r="B2" s="680" t="str">
        <f>'Hide_me(drop_downs)'!I1</f>
        <v>Year ended 31 July 2025</v>
      </c>
      <c r="C2" s="680"/>
      <c r="D2" s="347"/>
      <c r="E2" s="347"/>
      <c r="F2" s="347"/>
      <c r="G2" s="347"/>
      <c r="H2" s="393"/>
      <c r="I2" s="283" t="s">
        <v>600</v>
      </c>
      <c r="J2" s="283" t="s">
        <v>601</v>
      </c>
      <c r="K2" s="25"/>
      <c r="L2" s="61"/>
      <c r="M2" s="61"/>
      <c r="N2" s="25"/>
      <c r="O2" s="25"/>
      <c r="P2" s="89" t="s">
        <v>602</v>
      </c>
      <c r="Q2" s="64"/>
      <c r="R2" s="64"/>
      <c r="S2" s="65"/>
      <c r="T2" s="25"/>
      <c r="U2" s="27" t="s">
        <v>603</v>
      </c>
      <c r="V2" s="25"/>
      <c r="W2" s="25"/>
      <c r="X2" s="25"/>
    </row>
    <row r="3" spans="1:24" customFormat="1" ht="33.75" customHeight="1" x14ac:dyDescent="0.35">
      <c r="A3" s="394"/>
      <c r="B3" s="384"/>
      <c r="C3" s="384"/>
      <c r="D3" s="384"/>
      <c r="E3" s="384"/>
      <c r="F3" s="384"/>
      <c r="G3" s="386"/>
      <c r="H3" s="287" t="str">
        <f>'Hide_me(drop_downs)'!I1</f>
        <v>Year ended 31 July 2025</v>
      </c>
      <c r="I3" s="288" t="str">
        <f>'Hide_me(drop_downs)'!J1</f>
        <v>Year ended 31 July 2024</v>
      </c>
      <c r="J3" s="288" t="str">
        <f>'Hide_me(drop_downs)'!J1</f>
        <v>Year ended 31 July 2024</v>
      </c>
      <c r="K3" s="61"/>
      <c r="L3" s="61"/>
      <c r="M3" s="61"/>
      <c r="N3" s="25"/>
      <c r="O3" s="25"/>
      <c r="P3" s="67"/>
      <c r="Q3" s="25"/>
      <c r="R3" s="25"/>
      <c r="S3" s="65"/>
      <c r="T3" s="25"/>
      <c r="U3" s="27" t="s">
        <v>605</v>
      </c>
      <c r="V3" s="25"/>
      <c r="W3" s="36" t="s">
        <v>606</v>
      </c>
      <c r="X3" s="25"/>
    </row>
    <row r="4" spans="1:24" customFormat="1" ht="15.5" customHeight="1" thickBot="1" x14ac:dyDescent="0.4">
      <c r="A4" s="394"/>
      <c r="B4" s="395"/>
      <c r="C4" s="395"/>
      <c r="D4" s="395"/>
      <c r="E4" s="395"/>
      <c r="F4" s="395"/>
      <c r="G4" s="396"/>
      <c r="H4" s="397" t="s">
        <v>607</v>
      </c>
      <c r="I4" s="397" t="s">
        <v>607</v>
      </c>
      <c r="J4" s="397" t="s">
        <v>607</v>
      </c>
      <c r="K4" s="60" t="s">
        <v>607</v>
      </c>
      <c r="L4" s="60" t="s">
        <v>608</v>
      </c>
      <c r="M4" s="60"/>
      <c r="N4" s="25"/>
      <c r="O4" s="25"/>
      <c r="P4" s="68" t="s">
        <v>610</v>
      </c>
      <c r="Q4" s="25"/>
      <c r="R4" s="25"/>
      <c r="S4" s="65"/>
      <c r="T4" s="25"/>
      <c r="U4" s="68" t="s">
        <v>230</v>
      </c>
      <c r="V4" s="25"/>
      <c r="W4" s="25"/>
      <c r="X4" s="25"/>
    </row>
    <row r="5" spans="1:24" customFormat="1" ht="13" customHeight="1" thickBot="1" x14ac:dyDescent="0.4">
      <c r="A5" s="294">
        <v>1</v>
      </c>
      <c r="B5" s="295" t="s">
        <v>773</v>
      </c>
      <c r="C5" s="296"/>
      <c r="D5" s="296"/>
      <c r="E5" s="296"/>
      <c r="F5" s="296"/>
      <c r="G5" s="297"/>
      <c r="H5" s="298"/>
      <c r="I5" s="298"/>
      <c r="J5" s="298"/>
      <c r="K5" s="69" t="s">
        <v>230</v>
      </c>
      <c r="L5" s="69" t="s">
        <v>230</v>
      </c>
      <c r="M5" s="69"/>
      <c r="N5" s="25"/>
      <c r="O5" s="25"/>
      <c r="P5" s="60"/>
      <c r="Q5" s="60"/>
      <c r="R5" s="60"/>
      <c r="S5" s="279" t="str">
        <f>IF(S1="FAIL","Head","")</f>
        <v/>
      </c>
      <c r="T5" s="60"/>
      <c r="U5" s="279" t="str">
        <f>IF(U1="FAIL","Head","")</f>
        <v/>
      </c>
      <c r="V5" s="25"/>
      <c r="W5" s="25"/>
      <c r="X5" s="25"/>
    </row>
    <row r="6" spans="1:24" customFormat="1" ht="15.75" customHeight="1" thickBot="1" x14ac:dyDescent="0.4">
      <c r="A6" s="294" t="s">
        <v>613</v>
      </c>
      <c r="B6" s="398"/>
      <c r="C6" s="399" t="s">
        <v>774</v>
      </c>
      <c r="D6" s="400"/>
      <c r="E6" s="400"/>
      <c r="F6" s="400"/>
      <c r="G6" s="401"/>
      <c r="H6" s="13">
        <f>Table_1_UK!H30</f>
        <v>45337</v>
      </c>
      <c r="I6" s="11">
        <v>406640</v>
      </c>
      <c r="J6" s="402">
        <v>406640</v>
      </c>
      <c r="K6" s="45">
        <f>H6-I6</f>
        <v>-361303</v>
      </c>
      <c r="L6" s="45">
        <f>IF(AND(OR(H6=0,I6&lt;&gt;0),OR(I6=0,H6&lt;&gt;0)),IF((H6+I6+K6&lt;&gt;0),IF(AND(OR(H6&gt;0,I6&lt;0),OR(I6&gt;0,H6&lt;0)),ABS(K6/MIN(ABS(I6),ABS(H6))),10),"-"),10)</f>
        <v>7.969274543970708</v>
      </c>
      <c r="M6" s="45"/>
      <c r="N6" s="25"/>
      <c r="O6" s="25"/>
      <c r="P6" s="25"/>
      <c r="Q6" s="25"/>
      <c r="R6" s="25"/>
      <c r="S6" s="25"/>
      <c r="T6" s="25"/>
      <c r="U6" s="75" t="str">
        <f>IF(I6&lt;&gt;J6,A6&amp;" ("&amp;I6&amp;", "&amp;J6&amp;")"&amp;", ","")</f>
        <v/>
      </c>
      <c r="V6" s="25"/>
      <c r="W6" s="25"/>
      <c r="X6" s="25"/>
    </row>
    <row r="7" spans="1:24" x14ac:dyDescent="0.25">
      <c r="A7" s="294"/>
      <c r="B7" s="398"/>
      <c r="C7" s="400"/>
      <c r="D7" s="400"/>
      <c r="E7" s="400"/>
      <c r="F7" s="400"/>
      <c r="G7" s="401"/>
      <c r="H7" s="314"/>
      <c r="I7" s="314"/>
      <c r="J7" s="314"/>
      <c r="K7" s="45"/>
      <c r="L7" s="45"/>
      <c r="M7" s="45"/>
    </row>
    <row r="8" spans="1:24" customFormat="1" ht="12.65" customHeight="1" thickBot="1" x14ac:dyDescent="0.4">
      <c r="A8" s="294">
        <v>2</v>
      </c>
      <c r="B8" s="295" t="s">
        <v>775</v>
      </c>
      <c r="C8" s="296"/>
      <c r="D8" s="296"/>
      <c r="E8" s="296"/>
      <c r="F8" s="296"/>
      <c r="G8" s="297"/>
      <c r="H8" s="315"/>
      <c r="I8" s="315"/>
      <c r="J8" s="315"/>
      <c r="K8" s="45"/>
      <c r="L8" s="45"/>
      <c r="M8" s="45"/>
      <c r="N8" s="25"/>
      <c r="O8" s="25"/>
      <c r="P8" s="25"/>
      <c r="Q8" s="25"/>
      <c r="R8" s="25"/>
      <c r="S8" s="25"/>
      <c r="T8" s="25"/>
      <c r="U8" s="25"/>
      <c r="V8" s="25"/>
      <c r="W8" s="25"/>
      <c r="X8" s="25"/>
    </row>
    <row r="9" spans="1:24" customFormat="1" ht="12.65" customHeight="1" thickBot="1" x14ac:dyDescent="0.4">
      <c r="A9" s="294" t="s">
        <v>628</v>
      </c>
      <c r="B9" s="403"/>
      <c r="C9" s="358" t="s">
        <v>776</v>
      </c>
      <c r="D9" s="359"/>
      <c r="E9" s="359"/>
      <c r="F9" s="359"/>
      <c r="G9" s="360"/>
      <c r="H9" s="306">
        <v>99991</v>
      </c>
      <c r="I9" s="306">
        <v>87800</v>
      </c>
      <c r="J9" s="402">
        <v>87800</v>
      </c>
      <c r="K9" s="45">
        <f t="shared" ref="K9:K22" si="0">H9-I9</f>
        <v>12191</v>
      </c>
      <c r="L9" s="45">
        <f t="shared" ref="L9:L22" si="1">IF(AND(OR(H9=0,I9&lt;&gt;0),OR(I9=0,H9&lt;&gt;0)),IF((H9+I9+K9&lt;&gt;0),IF(AND(OR(H9&gt;0,I9&lt;0),OR(I9&gt;0,H9&lt;0)),ABS(K9/MIN(ABS(I9),ABS(H9))),10),"-"),10)</f>
        <v>0.13884965831435081</v>
      </c>
      <c r="M9" s="45"/>
      <c r="N9" s="25"/>
      <c r="O9" s="25"/>
      <c r="P9" s="25"/>
      <c r="Q9" s="25"/>
      <c r="R9" s="25"/>
      <c r="S9" s="25"/>
      <c r="T9" s="25"/>
      <c r="U9" s="75" t="str">
        <f t="shared" ref="U9:U22" si="2">IF(I9&lt;&gt;J9,A9&amp;" ("&amp;I9&amp;", "&amp;J9&amp;")"&amp;", ","")</f>
        <v/>
      </c>
      <c r="V9" s="25"/>
      <c r="W9" s="25"/>
      <c r="X9" s="25"/>
    </row>
    <row r="10" spans="1:24" customFormat="1" ht="12.65" customHeight="1" thickBot="1" x14ac:dyDescent="0.4">
      <c r="A10" s="404" t="s">
        <v>630</v>
      </c>
      <c r="B10" s="98"/>
      <c r="C10" s="358" t="s">
        <v>777</v>
      </c>
      <c r="D10" s="302"/>
      <c r="E10" s="302"/>
      <c r="F10" s="18"/>
      <c r="G10" s="360"/>
      <c r="H10" s="306">
        <v>3437</v>
      </c>
      <c r="I10" s="306">
        <v>3200</v>
      </c>
      <c r="J10" s="402">
        <v>3200</v>
      </c>
      <c r="K10" s="45">
        <f t="shared" si="0"/>
        <v>237</v>
      </c>
      <c r="L10" s="45">
        <f t="shared" si="1"/>
        <v>7.4062500000000003E-2</v>
      </c>
      <c r="M10" s="45"/>
      <c r="N10" s="25"/>
      <c r="O10" s="25"/>
      <c r="P10" s="25"/>
      <c r="Q10" s="25"/>
      <c r="R10" s="25"/>
      <c r="S10" s="25"/>
      <c r="T10" s="25"/>
      <c r="U10" s="31" t="str">
        <f t="shared" si="2"/>
        <v/>
      </c>
      <c r="V10" s="25"/>
      <c r="W10" s="25"/>
      <c r="X10" s="25"/>
    </row>
    <row r="11" spans="1:24" customFormat="1" ht="12.65" customHeight="1" thickBot="1" x14ac:dyDescent="0.4">
      <c r="A11" s="294" t="s">
        <v>632</v>
      </c>
      <c r="B11" s="100"/>
      <c r="C11" s="358" t="s">
        <v>778</v>
      </c>
      <c r="D11" s="302"/>
      <c r="E11" s="302"/>
      <c r="F11" s="18"/>
      <c r="G11" s="360"/>
      <c r="H11" s="306">
        <v>0</v>
      </c>
      <c r="I11" s="306">
        <v>0</v>
      </c>
      <c r="J11" s="402">
        <v>0</v>
      </c>
      <c r="K11" s="45">
        <f t="shared" si="0"/>
        <v>0</v>
      </c>
      <c r="L11" s="45" t="str">
        <f t="shared" si="1"/>
        <v>-</v>
      </c>
      <c r="M11" s="45"/>
      <c r="N11" s="25"/>
      <c r="O11" s="25"/>
      <c r="P11" s="25"/>
      <c r="Q11" s="25"/>
      <c r="R11" s="25"/>
      <c r="S11" s="25"/>
      <c r="T11" s="25"/>
      <c r="U11" s="31" t="str">
        <f t="shared" si="2"/>
        <v/>
      </c>
      <c r="V11" s="25"/>
      <c r="W11" s="25"/>
      <c r="X11" s="25"/>
    </row>
    <row r="12" spans="1:24" customFormat="1" ht="12.65" customHeight="1" thickBot="1" x14ac:dyDescent="0.4">
      <c r="A12" s="294" t="s">
        <v>634</v>
      </c>
      <c r="B12" s="100"/>
      <c r="C12" s="358" t="s">
        <v>779</v>
      </c>
      <c r="D12" s="359"/>
      <c r="E12" s="359"/>
      <c r="F12" s="359"/>
      <c r="G12" s="360"/>
      <c r="H12" s="306">
        <v>0</v>
      </c>
      <c r="I12" s="306">
        <v>0</v>
      </c>
      <c r="J12" s="402">
        <v>0</v>
      </c>
      <c r="K12" s="45">
        <f t="shared" si="0"/>
        <v>0</v>
      </c>
      <c r="L12" s="45" t="str">
        <f t="shared" si="1"/>
        <v>-</v>
      </c>
      <c r="M12" s="45"/>
      <c r="N12" s="25"/>
      <c r="O12" s="25"/>
      <c r="P12" s="25"/>
      <c r="Q12" s="25"/>
      <c r="R12" s="25"/>
      <c r="S12" s="25"/>
      <c r="T12" s="25"/>
      <c r="U12" s="31" t="str">
        <f t="shared" si="2"/>
        <v/>
      </c>
      <c r="V12" s="25"/>
      <c r="W12" s="25"/>
      <c r="X12" s="25"/>
    </row>
    <row r="13" spans="1:24" customFormat="1" ht="12.65" customHeight="1" thickBot="1" x14ac:dyDescent="0.4">
      <c r="A13" s="294" t="s">
        <v>636</v>
      </c>
      <c r="B13" s="100"/>
      <c r="C13" s="358" t="s">
        <v>780</v>
      </c>
      <c r="D13" s="359"/>
      <c r="E13" s="359"/>
      <c r="F13" s="359"/>
      <c r="G13" s="360"/>
      <c r="H13" s="13">
        <f>-SUM(Table_1_UK!H26+Table_1_UK!H25)</f>
        <v>-27969</v>
      </c>
      <c r="I13" s="11">
        <v>-29036</v>
      </c>
      <c r="J13" s="402">
        <v>-29036</v>
      </c>
      <c r="K13" s="45">
        <f t="shared" si="0"/>
        <v>1067</v>
      </c>
      <c r="L13" s="45">
        <f t="shared" si="1"/>
        <v>3.8149379670349315E-2</v>
      </c>
      <c r="M13" s="45"/>
      <c r="N13" s="25"/>
      <c r="O13" s="25"/>
      <c r="P13" s="25"/>
      <c r="Q13" s="25"/>
      <c r="R13" s="25"/>
      <c r="S13" s="25"/>
      <c r="T13" s="25"/>
      <c r="U13" s="31" t="str">
        <f t="shared" si="2"/>
        <v/>
      </c>
      <c r="V13" s="25"/>
      <c r="W13" s="25"/>
      <c r="X13" s="25"/>
    </row>
    <row r="14" spans="1:24" customFormat="1" ht="12.65" customHeight="1" thickBot="1" x14ac:dyDescent="0.4">
      <c r="A14" s="294" t="s">
        <v>638</v>
      </c>
      <c r="B14" s="100"/>
      <c r="C14" s="358" t="s">
        <v>781</v>
      </c>
      <c r="D14" s="359"/>
      <c r="E14" s="359"/>
      <c r="F14" s="359"/>
      <c r="G14" s="360"/>
      <c r="H14" s="306">
        <v>281</v>
      </c>
      <c r="I14" s="306">
        <v>106</v>
      </c>
      <c r="J14" s="402">
        <v>106</v>
      </c>
      <c r="K14" s="45">
        <f t="shared" si="0"/>
        <v>175</v>
      </c>
      <c r="L14" s="45">
        <f t="shared" si="1"/>
        <v>1.6509433962264151</v>
      </c>
      <c r="M14" s="45"/>
      <c r="N14" s="25"/>
      <c r="O14" s="25"/>
      <c r="P14" s="25"/>
      <c r="Q14" s="25"/>
      <c r="R14" s="25"/>
      <c r="S14" s="25"/>
      <c r="T14" s="25"/>
      <c r="U14" s="31" t="str">
        <f t="shared" si="2"/>
        <v/>
      </c>
      <c r="V14" s="25"/>
      <c r="W14" s="25"/>
      <c r="X14" s="25"/>
    </row>
    <row r="15" spans="1:24" customFormat="1" ht="12.65" customHeight="1" thickBot="1" x14ac:dyDescent="0.4">
      <c r="A15" s="294" t="s">
        <v>703</v>
      </c>
      <c r="B15" s="100"/>
      <c r="C15" s="358" t="s">
        <v>782</v>
      </c>
      <c r="D15" s="359"/>
      <c r="E15" s="359"/>
      <c r="F15" s="359"/>
      <c r="G15" s="360"/>
      <c r="H15" s="306">
        <v>-34965</v>
      </c>
      <c r="I15" s="306">
        <v>-51874</v>
      </c>
      <c r="J15" s="402">
        <v>-51874</v>
      </c>
      <c r="K15" s="45">
        <f t="shared" si="0"/>
        <v>16909</v>
      </c>
      <c r="L15" s="45">
        <f t="shared" si="1"/>
        <v>0.48359788359788358</v>
      </c>
      <c r="M15" s="45"/>
      <c r="N15" s="25"/>
      <c r="O15" s="25"/>
      <c r="P15" s="25"/>
      <c r="Q15" s="25"/>
      <c r="R15" s="25"/>
      <c r="S15" s="25"/>
      <c r="T15" s="25"/>
      <c r="U15" s="31" t="str">
        <f t="shared" si="2"/>
        <v/>
      </c>
      <c r="V15" s="25"/>
      <c r="W15" s="25"/>
      <c r="X15" s="25"/>
    </row>
    <row r="16" spans="1:24" customFormat="1" ht="12.65" customHeight="1" thickBot="1" x14ac:dyDescent="0.4">
      <c r="A16" s="294" t="s">
        <v>705</v>
      </c>
      <c r="B16" s="100"/>
      <c r="C16" s="358" t="s">
        <v>783</v>
      </c>
      <c r="D16" s="359"/>
      <c r="E16" s="359"/>
      <c r="F16" s="359"/>
      <c r="G16" s="360"/>
      <c r="H16" s="306">
        <v>51565</v>
      </c>
      <c r="I16" s="306">
        <v>26096</v>
      </c>
      <c r="J16" s="402">
        <v>26096</v>
      </c>
      <c r="K16" s="45">
        <f t="shared" si="0"/>
        <v>25469</v>
      </c>
      <c r="L16" s="45">
        <f t="shared" si="1"/>
        <v>0.97597332924586144</v>
      </c>
      <c r="M16" s="45"/>
      <c r="N16" s="25"/>
      <c r="O16" s="25"/>
      <c r="P16" s="25"/>
      <c r="Q16" s="25"/>
      <c r="R16" s="25"/>
      <c r="S16" s="25"/>
      <c r="T16" s="25"/>
      <c r="U16" s="31" t="str">
        <f t="shared" si="2"/>
        <v/>
      </c>
      <c r="V16" s="25"/>
      <c r="W16" s="25"/>
      <c r="X16" s="25"/>
    </row>
    <row r="17" spans="1:24" customFormat="1" ht="12.65" customHeight="1" thickBot="1" x14ac:dyDescent="0.4">
      <c r="A17" s="294" t="s">
        <v>784</v>
      </c>
      <c r="B17" s="100"/>
      <c r="C17" s="358" t="s">
        <v>785</v>
      </c>
      <c r="D17" s="359"/>
      <c r="E17" s="359"/>
      <c r="F17" s="359"/>
      <c r="G17" s="360"/>
      <c r="H17" s="306">
        <v>3889</v>
      </c>
      <c r="I17" s="306">
        <v>-359400</v>
      </c>
      <c r="J17" s="402">
        <v>-359400</v>
      </c>
      <c r="K17" s="45">
        <f t="shared" si="0"/>
        <v>363289</v>
      </c>
      <c r="L17" s="45">
        <f t="shared" si="1"/>
        <v>10</v>
      </c>
      <c r="M17" s="45"/>
      <c r="N17" s="25"/>
      <c r="O17" s="25"/>
      <c r="P17" s="25"/>
      <c r="Q17" s="25"/>
      <c r="R17" s="25"/>
      <c r="S17" s="25"/>
      <c r="T17" s="25"/>
      <c r="U17" s="31" t="str">
        <f t="shared" si="2"/>
        <v/>
      </c>
      <c r="V17" s="25"/>
      <c r="W17" s="25"/>
      <c r="X17" s="25"/>
    </row>
    <row r="18" spans="1:24" customFormat="1" ht="12.65" customHeight="1" thickBot="1" x14ac:dyDescent="0.4">
      <c r="A18" s="294" t="s">
        <v>786</v>
      </c>
      <c r="B18" s="100"/>
      <c r="C18" s="358" t="s">
        <v>787</v>
      </c>
      <c r="D18" s="359"/>
      <c r="E18" s="359"/>
      <c r="F18" s="359"/>
      <c r="G18" s="360"/>
      <c r="H18" s="306">
        <v>0</v>
      </c>
      <c r="I18" s="306">
        <v>0</v>
      </c>
      <c r="J18" s="402">
        <v>0</v>
      </c>
      <c r="K18" s="45">
        <f t="shared" si="0"/>
        <v>0</v>
      </c>
      <c r="L18" s="45" t="str">
        <f t="shared" si="1"/>
        <v>-</v>
      </c>
      <c r="M18" s="45"/>
      <c r="N18" s="25"/>
      <c r="O18" s="25"/>
      <c r="P18" s="25"/>
      <c r="Q18" s="25"/>
      <c r="R18" s="25"/>
      <c r="S18" s="25"/>
      <c r="T18" s="25"/>
      <c r="U18" s="31" t="str">
        <f t="shared" si="2"/>
        <v/>
      </c>
      <c r="V18" s="25"/>
      <c r="W18" s="25"/>
      <c r="X18" s="25"/>
    </row>
    <row r="19" spans="1:24" customFormat="1" ht="12.65" customHeight="1" thickBot="1" x14ac:dyDescent="0.4">
      <c r="A19" s="294" t="s">
        <v>788</v>
      </c>
      <c r="B19" s="100"/>
      <c r="C19" s="358" t="s">
        <v>789</v>
      </c>
      <c r="D19" s="359"/>
      <c r="E19" s="359"/>
      <c r="F19" s="359"/>
      <c r="G19" s="360"/>
      <c r="H19" s="306">
        <v>0</v>
      </c>
      <c r="I19" s="306">
        <v>0</v>
      </c>
      <c r="J19" s="402">
        <v>0</v>
      </c>
      <c r="K19" s="45">
        <f t="shared" si="0"/>
        <v>0</v>
      </c>
      <c r="L19" s="45" t="str">
        <f t="shared" si="1"/>
        <v>-</v>
      </c>
      <c r="M19" s="45"/>
      <c r="N19" s="25"/>
      <c r="O19" s="25"/>
      <c r="P19" s="25"/>
      <c r="Q19" s="25"/>
      <c r="R19" s="25"/>
      <c r="S19" s="25"/>
      <c r="T19" s="25"/>
      <c r="U19" s="31" t="str">
        <f t="shared" si="2"/>
        <v/>
      </c>
      <c r="V19" s="25"/>
      <c r="W19" s="25"/>
      <c r="X19" s="25"/>
    </row>
    <row r="20" spans="1:24" customFormat="1" ht="12.65" customHeight="1" thickBot="1" x14ac:dyDescent="0.4">
      <c r="A20" s="294" t="s">
        <v>790</v>
      </c>
      <c r="B20" s="100"/>
      <c r="C20" s="358" t="s">
        <v>791</v>
      </c>
      <c r="D20" s="359"/>
      <c r="E20" s="359"/>
      <c r="F20" s="359"/>
      <c r="G20" s="360"/>
      <c r="H20" s="13">
        <f>-Table_1_UK!H27</f>
        <v>0</v>
      </c>
      <c r="I20" s="11">
        <v>0</v>
      </c>
      <c r="J20" s="402">
        <v>0</v>
      </c>
      <c r="K20" s="45">
        <f t="shared" si="0"/>
        <v>0</v>
      </c>
      <c r="L20" s="45" t="str">
        <f t="shared" si="1"/>
        <v>-</v>
      </c>
      <c r="M20" s="45"/>
      <c r="N20" s="25"/>
      <c r="O20" s="25"/>
      <c r="P20" s="25"/>
      <c r="Q20" s="25"/>
      <c r="R20" s="25"/>
      <c r="S20" s="25"/>
      <c r="T20" s="25"/>
      <c r="U20" s="31" t="str">
        <f t="shared" si="2"/>
        <v/>
      </c>
      <c r="V20" s="25"/>
      <c r="W20" s="25"/>
      <c r="X20" s="25"/>
    </row>
    <row r="21" spans="1:24" customFormat="1" ht="12.65" customHeight="1" thickBot="1" x14ac:dyDescent="0.4">
      <c r="A21" s="294" t="s">
        <v>792</v>
      </c>
      <c r="B21" s="100"/>
      <c r="C21" s="358" t="s">
        <v>793</v>
      </c>
      <c r="D21" s="359"/>
      <c r="E21" s="359"/>
      <c r="F21" s="359"/>
      <c r="G21" s="360"/>
      <c r="H21" s="13">
        <f>-Table_1_UK!H28</f>
        <v>0</v>
      </c>
      <c r="I21" s="11">
        <v>0</v>
      </c>
      <c r="J21" s="402">
        <v>0</v>
      </c>
      <c r="K21" s="45">
        <f t="shared" si="0"/>
        <v>0</v>
      </c>
      <c r="L21" s="45" t="str">
        <f t="shared" si="1"/>
        <v>-</v>
      </c>
      <c r="M21" s="45"/>
      <c r="N21" s="27" t="s">
        <v>794</v>
      </c>
      <c r="O21" s="25"/>
      <c r="P21" s="25"/>
      <c r="Q21" s="25"/>
      <c r="R21" s="25"/>
      <c r="S21" s="25"/>
      <c r="T21" s="25"/>
      <c r="U21" s="31" t="str">
        <f t="shared" si="2"/>
        <v/>
      </c>
      <c r="V21" s="25"/>
      <c r="W21" s="25"/>
      <c r="X21" s="25"/>
    </row>
    <row r="22" spans="1:24" customFormat="1" ht="12.65" customHeight="1" thickBot="1" x14ac:dyDescent="0.4">
      <c r="A22" s="294" t="s">
        <v>795</v>
      </c>
      <c r="B22" s="403"/>
      <c r="C22" s="358" t="s">
        <v>110</v>
      </c>
      <c r="D22" s="359"/>
      <c r="E22" s="359"/>
      <c r="F22" s="359"/>
      <c r="G22" s="360"/>
      <c r="H22" s="306">
        <v>4051</v>
      </c>
      <c r="I22" s="306">
        <v>36</v>
      </c>
      <c r="J22" s="402">
        <v>36</v>
      </c>
      <c r="K22" s="45">
        <f t="shared" si="0"/>
        <v>4015</v>
      </c>
      <c r="L22" s="45">
        <f t="shared" si="1"/>
        <v>111.52777777777777</v>
      </c>
      <c r="M22" s="45"/>
      <c r="N22" s="405" t="s">
        <v>1421</v>
      </c>
      <c r="O22" s="406"/>
      <c r="P22" s="406"/>
      <c r="Q22" s="406"/>
      <c r="R22" s="406"/>
      <c r="S22" s="406"/>
      <c r="T22" s="406"/>
      <c r="U22" s="31" t="str">
        <f t="shared" si="2"/>
        <v/>
      </c>
      <c r="V22" s="78"/>
      <c r="W22" s="78"/>
      <c r="X22" s="78"/>
    </row>
    <row r="23" spans="1:24" customFormat="1" ht="14.5" x14ac:dyDescent="0.35">
      <c r="A23" s="294"/>
      <c r="B23" s="357"/>
      <c r="C23" s="359"/>
      <c r="D23" s="359"/>
      <c r="E23" s="359"/>
      <c r="F23" s="359"/>
      <c r="G23" s="360"/>
      <c r="H23" s="314"/>
      <c r="I23" s="314"/>
      <c r="J23" s="314"/>
      <c r="K23" s="45"/>
      <c r="L23" s="45"/>
      <c r="M23" s="45"/>
      <c r="N23" s="78"/>
      <c r="O23" s="78"/>
      <c r="P23" s="78"/>
      <c r="Q23" s="78"/>
      <c r="R23" s="78"/>
      <c r="S23" s="78"/>
      <c r="T23" s="78"/>
      <c r="U23" s="78"/>
      <c r="V23" s="78"/>
      <c r="W23" s="78"/>
      <c r="X23" s="78"/>
    </row>
    <row r="24" spans="1:24" customFormat="1" ht="12.65" customHeight="1" thickBot="1" x14ac:dyDescent="0.4">
      <c r="A24" s="294">
        <v>3</v>
      </c>
      <c r="B24" s="295" t="s">
        <v>796</v>
      </c>
      <c r="C24" s="296"/>
      <c r="D24" s="296"/>
      <c r="E24" s="296"/>
      <c r="F24" s="296"/>
      <c r="G24" s="297"/>
      <c r="H24" s="315"/>
      <c r="I24" s="315"/>
      <c r="J24" s="315"/>
      <c r="K24" s="45"/>
      <c r="L24" s="45"/>
      <c r="M24" s="45"/>
      <c r="N24" s="78"/>
      <c r="O24" s="78"/>
      <c r="P24" s="78"/>
      <c r="Q24" s="78"/>
      <c r="R24" s="78"/>
      <c r="S24" s="78"/>
      <c r="T24" s="78"/>
      <c r="U24" s="78"/>
      <c r="V24" s="78"/>
      <c r="W24" s="78"/>
      <c r="X24" s="78"/>
    </row>
    <row r="25" spans="1:24" customFormat="1" ht="12.65" customHeight="1" thickBot="1" x14ac:dyDescent="0.4">
      <c r="A25" s="294" t="s">
        <v>123</v>
      </c>
      <c r="B25" s="391"/>
      <c r="C25" s="301" t="s">
        <v>622</v>
      </c>
      <c r="D25" s="302"/>
      <c r="E25" s="302"/>
      <c r="F25" s="302"/>
      <c r="G25" s="303"/>
      <c r="H25" s="306">
        <v>-54234</v>
      </c>
      <c r="I25" s="306">
        <v>-64425</v>
      </c>
      <c r="J25" s="402">
        <v>-64425</v>
      </c>
      <c r="K25" s="45">
        <f>H25-I25</f>
        <v>10191</v>
      </c>
      <c r="L25" s="45">
        <f>IF(AND(OR(H25=0,I25&lt;&gt;0),OR(I25=0,H25&lt;&gt;0)),IF((H25+I25+K25&lt;&gt;0),IF(AND(OR(H25&gt;0,I25&lt;0),OR(I25&gt;0,H25&lt;0)),ABS(K25/MIN(ABS(I25),ABS(H25))),10),"-"),10)</f>
        <v>0.18790795441973671</v>
      </c>
      <c r="M25" s="45"/>
      <c r="N25" s="25"/>
      <c r="O25" s="25"/>
      <c r="P25" s="25"/>
      <c r="Q25" s="25"/>
      <c r="R25" s="25"/>
      <c r="S25" s="25"/>
      <c r="T25" s="25"/>
      <c r="U25" s="75" t="str">
        <f>IF(I25&lt;&gt;J25,A25&amp;" ("&amp;I25&amp;", "&amp;J25&amp;")"&amp;", ","")</f>
        <v/>
      </c>
      <c r="V25" s="25"/>
      <c r="W25" s="25"/>
      <c r="X25" s="25"/>
    </row>
    <row r="26" spans="1:24" customFormat="1" ht="12.65" customHeight="1" thickBot="1" x14ac:dyDescent="0.4">
      <c r="A26" s="294" t="s">
        <v>709</v>
      </c>
      <c r="B26" s="391"/>
      <c r="C26" s="301" t="s">
        <v>797</v>
      </c>
      <c r="D26" s="302"/>
      <c r="E26" s="302"/>
      <c r="F26" s="302"/>
      <c r="G26" s="303"/>
      <c r="H26" s="306">
        <v>13974</v>
      </c>
      <c r="I26" s="306">
        <v>21602</v>
      </c>
      <c r="J26" s="402">
        <v>21602</v>
      </c>
      <c r="K26" s="45">
        <f>H26-I26</f>
        <v>-7628</v>
      </c>
      <c r="L26" s="45">
        <f>IF(AND(OR(H26=0,I26&lt;&gt;0),OR(I26=0,H26&lt;&gt;0)),IF((H26+I26+K26&lt;&gt;0),IF(AND(OR(H26&gt;0,I26&lt;0),OR(I26&gt;0,H26&lt;0)),ABS(K26/MIN(ABS(I26),ABS(H26))),10),"-"),10)</f>
        <v>0.5458709031057678</v>
      </c>
      <c r="M26" s="45"/>
      <c r="N26" s="25"/>
      <c r="O26" s="25"/>
      <c r="P26" s="25"/>
      <c r="Q26" s="25"/>
      <c r="R26" s="25"/>
      <c r="S26" s="25"/>
      <c r="T26" s="25"/>
      <c r="U26" s="31" t="str">
        <f>IF(I26&lt;&gt;J26,A26&amp;" ("&amp;I26&amp;", "&amp;J26&amp;")"&amp;", ","")</f>
        <v/>
      </c>
      <c r="V26" s="25"/>
      <c r="W26" s="25"/>
      <c r="X26" s="25"/>
    </row>
    <row r="27" spans="1:24" customFormat="1" ht="12.65" customHeight="1" thickBot="1" x14ac:dyDescent="0.4">
      <c r="A27" s="294" t="s">
        <v>711</v>
      </c>
      <c r="B27" s="391"/>
      <c r="C27" s="301" t="s">
        <v>798</v>
      </c>
      <c r="D27" s="302"/>
      <c r="E27" s="302"/>
      <c r="F27" s="302"/>
      <c r="G27" s="303"/>
      <c r="H27" s="306">
        <v>-8282</v>
      </c>
      <c r="I27" s="306">
        <v>-5825</v>
      </c>
      <c r="J27" s="402">
        <v>-5825</v>
      </c>
      <c r="K27" s="45">
        <f>H27-I27</f>
        <v>-2457</v>
      </c>
      <c r="L27" s="45">
        <f>IF(AND(OR(H27=0,I27&lt;&gt;0),OR(I27=0,H27&lt;&gt;0)),IF((H27+I27+K27&lt;&gt;0),IF(AND(OR(H27&gt;0,I27&lt;0),OR(I27&gt;0,H27&lt;0)),ABS(K27/MIN(ABS(I27),ABS(H27))),10),"-"),10)</f>
        <v>0.42180257510729613</v>
      </c>
      <c r="M27" s="45"/>
      <c r="N27" s="25"/>
      <c r="O27" s="25"/>
      <c r="P27" s="25"/>
      <c r="Q27" s="25"/>
      <c r="R27" s="25"/>
      <c r="S27" s="25"/>
      <c r="T27" s="25"/>
      <c r="U27" s="31" t="str">
        <f>IF(I27&lt;&gt;J27,A27&amp;" ("&amp;I27&amp;", "&amp;J27&amp;")"&amp;", ","")</f>
        <v/>
      </c>
      <c r="V27" s="25"/>
      <c r="W27" s="25"/>
      <c r="X27" s="25"/>
    </row>
    <row r="28" spans="1:24" customFormat="1" ht="12.65" customHeight="1" thickBot="1" x14ac:dyDescent="0.4">
      <c r="A28" s="294" t="s">
        <v>713</v>
      </c>
      <c r="B28" s="391"/>
      <c r="C28" s="301" t="s">
        <v>799</v>
      </c>
      <c r="D28" s="302"/>
      <c r="E28" s="302"/>
      <c r="F28" s="302"/>
      <c r="G28" s="303"/>
      <c r="H28" s="306">
        <v>2644</v>
      </c>
      <c r="I28" s="306">
        <v>26</v>
      </c>
      <c r="J28" s="402">
        <v>26</v>
      </c>
      <c r="K28" s="45">
        <f>H28-I28</f>
        <v>2618</v>
      </c>
      <c r="L28" s="45">
        <f>IF(AND(OR(H28=0,I28&lt;&gt;0),OR(I28=0,H28&lt;&gt;0)),IF((H28+I28+K28&lt;&gt;0),IF(AND(OR(H28&gt;0,I28&lt;0),OR(I28&gt;0,H28&lt;0)),ABS(K28/MIN(ABS(I28),ABS(H28))),10),"-"),10)</f>
        <v>100.69230769230769</v>
      </c>
      <c r="M28" s="45"/>
      <c r="N28" s="25"/>
      <c r="O28" s="25"/>
      <c r="P28" s="25"/>
      <c r="Q28" s="25"/>
      <c r="R28" s="25"/>
      <c r="S28" s="25"/>
      <c r="T28" s="25"/>
      <c r="U28" s="31" t="str">
        <f>IF(I28&lt;&gt;J28,A28&amp;" ("&amp;I28&amp;", "&amp;J28&amp;")"&amp;", ","")</f>
        <v/>
      </c>
      <c r="V28" s="25"/>
      <c r="W28" s="25"/>
      <c r="X28" s="25"/>
    </row>
    <row r="29" spans="1:24" x14ac:dyDescent="0.25">
      <c r="A29" s="294" t="s">
        <v>715</v>
      </c>
      <c r="B29" s="391"/>
      <c r="C29" s="301" t="s">
        <v>800</v>
      </c>
      <c r="D29" s="302"/>
      <c r="E29" s="302"/>
      <c r="F29" s="302"/>
      <c r="G29" s="303"/>
      <c r="H29" s="306">
        <v>-46108</v>
      </c>
      <c r="I29" s="306">
        <v>-53757</v>
      </c>
      <c r="J29" s="402">
        <v>-53757</v>
      </c>
      <c r="K29" s="45">
        <f>H29-I29</f>
        <v>7649</v>
      </c>
      <c r="L29" s="45">
        <f>IF(AND(OR(H29=0,I29&lt;&gt;0),OR(I29=0,H29&lt;&gt;0)),IF((H29+I29+K29&lt;&gt;0),IF(AND(OR(H29&gt;0,I29&lt;0),OR(I29&gt;0,H29&lt;0)),ABS(K29/MIN(ABS(I29),ABS(H29))),10),"-"),10)</f>
        <v>0.16589312049969637</v>
      </c>
      <c r="M29" s="45"/>
    </row>
    <row r="30" spans="1:24" x14ac:dyDescent="0.25">
      <c r="A30" s="404" t="s">
        <v>717</v>
      </c>
      <c r="B30" s="391"/>
      <c r="C30" s="301" t="s">
        <v>801</v>
      </c>
      <c r="D30" s="302"/>
      <c r="E30" s="302"/>
      <c r="F30" s="302"/>
      <c r="G30" s="303"/>
      <c r="H30" s="306">
        <v>0</v>
      </c>
      <c r="I30" s="306">
        <v>0</v>
      </c>
      <c r="J30" s="402">
        <v>0</v>
      </c>
      <c r="K30" s="45"/>
      <c r="L30" s="45"/>
      <c r="M30" s="45"/>
    </row>
    <row r="31" spans="1:24" x14ac:dyDescent="0.25">
      <c r="A31" s="294"/>
      <c r="B31" s="391"/>
      <c r="C31" s="301"/>
      <c r="D31" s="302"/>
      <c r="E31" s="302"/>
      <c r="F31" s="302"/>
      <c r="G31" s="303"/>
      <c r="H31" s="407"/>
      <c r="I31" s="407"/>
      <c r="J31" s="407"/>
      <c r="K31" s="45"/>
      <c r="L31" s="45"/>
      <c r="M31" s="45"/>
    </row>
    <row r="32" spans="1:24" customFormat="1" ht="13" customHeight="1" x14ac:dyDescent="0.35">
      <c r="A32" s="294">
        <v>4</v>
      </c>
      <c r="B32" s="307" t="s">
        <v>802</v>
      </c>
      <c r="C32" s="337"/>
      <c r="D32" s="337"/>
      <c r="E32" s="337"/>
      <c r="F32" s="337"/>
      <c r="G32" s="338"/>
      <c r="H32" s="310">
        <f>SUM(H6,H9:H22,H25:H30)</f>
        <v>53611</v>
      </c>
      <c r="I32" s="310">
        <f>SUM(I6,I9:I22,I25:I30)</f>
        <v>-18811</v>
      </c>
      <c r="J32" s="408">
        <f>SUM(J6,J9:J22,J25:J29)</f>
        <v>-18811</v>
      </c>
      <c r="K32" s="45">
        <f>H32-I32</f>
        <v>72422</v>
      </c>
      <c r="L32" s="45">
        <f>IF(AND(OR(H32=0,I32&lt;&gt;0),OR(I32=0,H32&lt;&gt;0)),IF((H32+I32+K32&lt;&gt;0),IF(AND(OR(H32&gt;0,I32&lt;0),OR(I32&gt;0,H32&lt;0)),ABS(K32/MIN(ABS(I32),ABS(H32))),10),"-"),10)</f>
        <v>10</v>
      </c>
      <c r="M32" s="45"/>
      <c r="N32" s="25"/>
      <c r="O32" s="25"/>
      <c r="P32" s="25"/>
      <c r="Q32" s="25"/>
      <c r="R32" s="25"/>
      <c r="S32" s="25"/>
      <c r="T32" s="25"/>
      <c r="U32" s="25"/>
      <c r="V32" s="25"/>
      <c r="W32" s="25"/>
      <c r="X32" s="25"/>
    </row>
    <row r="33" spans="1:24" x14ac:dyDescent="0.25">
      <c r="A33" s="294"/>
      <c r="B33" s="391"/>
      <c r="C33" s="301"/>
      <c r="D33" s="302"/>
      <c r="E33" s="302"/>
      <c r="F33" s="302"/>
      <c r="G33" s="303"/>
      <c r="H33" s="328"/>
      <c r="I33" s="314"/>
      <c r="J33" s="314"/>
      <c r="K33" s="45"/>
      <c r="L33" s="45"/>
      <c r="M33" s="45"/>
    </row>
    <row r="34" spans="1:24" x14ac:dyDescent="0.25">
      <c r="A34" s="294">
        <v>5</v>
      </c>
      <c r="B34" s="403" t="s">
        <v>803</v>
      </c>
      <c r="C34" s="358"/>
      <c r="D34" s="359"/>
      <c r="E34" s="359"/>
      <c r="F34" s="359"/>
      <c r="G34" s="360"/>
      <c r="H34" s="306">
        <v>-743</v>
      </c>
      <c r="I34" s="306">
        <v>-849</v>
      </c>
      <c r="J34" s="366">
        <v>-849</v>
      </c>
      <c r="K34" s="45">
        <f>H34-I34</f>
        <v>106</v>
      </c>
      <c r="L34" s="45">
        <f>IF(AND(OR(H34=0,I34&lt;&gt;0),OR(I34=0,H34&lt;&gt;0)),IF((H34+I34+K34&lt;&gt;0),IF(AND(OR(H34&gt;0,I34&lt;0),OR(I34&gt;0,H34&lt;0)),ABS(K34/MIN(ABS(I34),ABS(H34))),10),"-"),10)</f>
        <v>0.14266487213997309</v>
      </c>
      <c r="M34" s="45"/>
    </row>
    <row r="35" spans="1:24" x14ac:dyDescent="0.25">
      <c r="A35" s="294"/>
      <c r="B35" s="391"/>
      <c r="C35" s="301"/>
      <c r="D35" s="302"/>
      <c r="E35" s="302"/>
      <c r="F35" s="302"/>
      <c r="G35" s="303"/>
      <c r="H35" s="328"/>
      <c r="I35" s="314"/>
      <c r="J35" s="314"/>
      <c r="K35" s="45"/>
      <c r="L35" s="45"/>
      <c r="M35" s="45"/>
    </row>
    <row r="36" spans="1:24" customFormat="1" ht="13" customHeight="1" x14ac:dyDescent="0.35">
      <c r="A36" s="294">
        <v>6</v>
      </c>
      <c r="B36" s="307" t="s">
        <v>804</v>
      </c>
      <c r="C36" s="337"/>
      <c r="D36" s="337"/>
      <c r="E36" s="337"/>
      <c r="F36" s="337"/>
      <c r="G36" s="338"/>
      <c r="H36" s="310">
        <f>SUM(H32:H34)</f>
        <v>52868</v>
      </c>
      <c r="I36" s="310">
        <f>SUM(I32:I34)</f>
        <v>-19660</v>
      </c>
      <c r="J36" s="323">
        <f>SUM(J32:J34)</f>
        <v>-19660</v>
      </c>
      <c r="K36" s="45">
        <f>H36-I36</f>
        <v>72528</v>
      </c>
      <c r="L36" s="45">
        <f>IF(AND(OR(H36=0,I36&lt;&gt;0),OR(I36=0,H36&lt;&gt;0)),IF((H36+I36+K36&lt;&gt;0),IF(AND(OR(H36&gt;0,I36&lt;0),OR(I36&gt;0,H36&lt;0)),ABS(K36/MIN(ABS(I36),ABS(H36))),10),"-"),10)</f>
        <v>10</v>
      </c>
      <c r="M36" s="45"/>
      <c r="N36" s="25"/>
      <c r="O36" s="25"/>
      <c r="P36" s="25"/>
      <c r="Q36" s="25"/>
      <c r="R36" s="25"/>
      <c r="S36" s="25"/>
      <c r="T36" s="25"/>
      <c r="U36" s="25"/>
      <c r="V36" s="25"/>
      <c r="W36" s="25"/>
      <c r="X36" s="25"/>
    </row>
    <row r="37" spans="1:24" customFormat="1" ht="13" customHeight="1" x14ac:dyDescent="0.35">
      <c r="A37" s="409"/>
      <c r="B37" s="324"/>
      <c r="C37" s="325"/>
      <c r="D37" s="325"/>
      <c r="E37" s="325"/>
      <c r="F37" s="325"/>
      <c r="G37" s="326"/>
      <c r="H37" s="314"/>
      <c r="I37" s="314"/>
      <c r="J37" s="314"/>
      <c r="K37" s="45"/>
      <c r="L37" s="45"/>
      <c r="M37" s="45"/>
      <c r="N37" s="25"/>
      <c r="O37" s="25"/>
      <c r="P37" s="25"/>
      <c r="Q37" s="25"/>
      <c r="R37" s="25"/>
      <c r="S37" s="25"/>
      <c r="T37" s="25"/>
      <c r="U37" s="25"/>
      <c r="V37" s="25"/>
      <c r="W37" s="25"/>
      <c r="X37" s="25"/>
    </row>
    <row r="38" spans="1:24" customFormat="1" ht="12.65" customHeight="1" thickBot="1" x14ac:dyDescent="0.4">
      <c r="A38" s="294">
        <v>7</v>
      </c>
      <c r="B38" s="295" t="s">
        <v>805</v>
      </c>
      <c r="C38" s="296"/>
      <c r="D38" s="296"/>
      <c r="E38" s="296"/>
      <c r="F38" s="296"/>
      <c r="G38" s="297"/>
      <c r="H38" s="315"/>
      <c r="I38" s="315"/>
      <c r="J38" s="315"/>
      <c r="K38" s="45"/>
      <c r="L38" s="45"/>
      <c r="M38" s="45"/>
      <c r="N38" s="25"/>
      <c r="O38" s="25"/>
      <c r="P38" s="25"/>
      <c r="Q38" s="25"/>
      <c r="R38" s="25"/>
      <c r="S38" s="25"/>
      <c r="T38" s="25"/>
      <c r="U38" s="25"/>
      <c r="V38" s="25"/>
      <c r="W38" s="25"/>
      <c r="X38" s="25"/>
    </row>
    <row r="39" spans="1:24" customFormat="1" ht="12.65" customHeight="1" thickBot="1" x14ac:dyDescent="0.4">
      <c r="A39" s="294" t="s">
        <v>729</v>
      </c>
      <c r="B39" s="391"/>
      <c r="C39" s="5" t="s">
        <v>806</v>
      </c>
      <c r="D39" s="302"/>
      <c r="E39" s="302"/>
      <c r="F39" s="302"/>
      <c r="G39" s="303"/>
      <c r="H39" s="306">
        <v>506</v>
      </c>
      <c r="I39" s="306">
        <v>674</v>
      </c>
      <c r="J39" s="402">
        <v>674</v>
      </c>
      <c r="K39" s="45">
        <f t="shared" ref="K39:K50" si="3">H39-I39</f>
        <v>-168</v>
      </c>
      <c r="L39" s="45">
        <f t="shared" ref="L39:L50" si="4">IF(AND(OR(H39=0,I39&lt;&gt;0),OR(I39=0,H39&lt;&gt;0)),IF((H39+I39+K39&lt;&gt;0),IF(AND(OR(H39&gt;0,I39&lt;0),OR(I39&gt;0,H39&lt;0)),ABS(K39/MIN(ABS(I39),ABS(H39))),10),"-"),10)</f>
        <v>0.33201581027667987</v>
      </c>
      <c r="M39" s="45"/>
      <c r="N39" s="25"/>
      <c r="O39" s="25"/>
      <c r="P39" s="25"/>
      <c r="Q39" s="25"/>
      <c r="R39" s="25"/>
      <c r="S39" s="25"/>
      <c r="T39" s="25"/>
      <c r="U39" s="75" t="str">
        <f>IF(I39&lt;&gt;J39,A39&amp;" ("&amp;I39&amp;", "&amp;J39&amp;")"&amp;", ","")</f>
        <v/>
      </c>
      <c r="V39" s="25"/>
      <c r="W39" s="25"/>
      <c r="X39" s="25"/>
    </row>
    <row r="40" spans="1:24" customFormat="1" ht="12.65" customHeight="1" thickBot="1" x14ac:dyDescent="0.4">
      <c r="A40" s="294" t="s">
        <v>730</v>
      </c>
      <c r="B40" s="391"/>
      <c r="C40" s="5" t="s">
        <v>807</v>
      </c>
      <c r="D40" s="302"/>
      <c r="E40" s="302"/>
      <c r="F40" s="302"/>
      <c r="G40" s="303"/>
      <c r="H40" s="306">
        <v>0</v>
      </c>
      <c r="I40" s="306">
        <v>0</v>
      </c>
      <c r="J40" s="402">
        <v>0</v>
      </c>
      <c r="K40" s="45">
        <f t="shared" si="3"/>
        <v>0</v>
      </c>
      <c r="L40" s="45" t="str">
        <f t="shared" si="4"/>
        <v>-</v>
      </c>
      <c r="M40" s="45"/>
      <c r="N40" s="25"/>
      <c r="O40" s="25"/>
      <c r="P40" s="25"/>
      <c r="Q40" s="25"/>
      <c r="R40" s="25"/>
      <c r="S40" s="25"/>
      <c r="T40" s="25"/>
      <c r="U40" s="31" t="str">
        <f>IF(I40&lt;&gt;J40,A40&amp;" ("&amp;I40&amp;", "&amp;J40&amp;")"&amp;", ","")</f>
        <v/>
      </c>
      <c r="V40" s="25"/>
      <c r="W40" s="25"/>
      <c r="X40" s="25"/>
    </row>
    <row r="41" spans="1:24" customFormat="1" ht="12.65" customHeight="1" thickBot="1" x14ac:dyDescent="0.4">
      <c r="A41" s="294" t="s">
        <v>731</v>
      </c>
      <c r="B41" s="391"/>
      <c r="C41" s="5" t="s">
        <v>808</v>
      </c>
      <c r="D41" s="302"/>
      <c r="E41" s="302"/>
      <c r="F41" s="302"/>
      <c r="G41" s="303"/>
      <c r="H41" s="306">
        <v>46108</v>
      </c>
      <c r="I41" s="306">
        <v>53757</v>
      </c>
      <c r="J41" s="402">
        <v>53757</v>
      </c>
      <c r="K41" s="45">
        <f t="shared" si="3"/>
        <v>-7649</v>
      </c>
      <c r="L41" s="45">
        <f t="shared" si="4"/>
        <v>0.16589312049969637</v>
      </c>
      <c r="M41" s="45"/>
      <c r="N41" s="25"/>
      <c r="O41" s="25"/>
      <c r="P41" s="25"/>
      <c r="Q41" s="25"/>
      <c r="R41" s="25"/>
      <c r="S41" s="25"/>
      <c r="T41" s="25"/>
      <c r="U41" s="25"/>
      <c r="V41" s="25"/>
      <c r="W41" s="25"/>
      <c r="X41" s="25"/>
    </row>
    <row r="42" spans="1:24" customFormat="1" ht="12.65" customHeight="1" thickBot="1" x14ac:dyDescent="0.4">
      <c r="A42" s="294" t="s">
        <v>732</v>
      </c>
      <c r="B42" s="391"/>
      <c r="C42" s="410" t="s">
        <v>809</v>
      </c>
      <c r="D42" s="302"/>
      <c r="E42" s="302"/>
      <c r="F42" s="302"/>
      <c r="G42" s="303"/>
      <c r="H42" s="306">
        <v>1139594</v>
      </c>
      <c r="I42" s="306">
        <v>122900</v>
      </c>
      <c r="J42" s="402">
        <v>122900</v>
      </c>
      <c r="K42" s="45">
        <f t="shared" si="3"/>
        <v>1016694</v>
      </c>
      <c r="L42" s="45">
        <f t="shared" si="4"/>
        <v>8.2725305126118798</v>
      </c>
      <c r="M42" s="45"/>
      <c r="N42" s="25"/>
      <c r="O42" s="25"/>
      <c r="P42" s="25"/>
      <c r="Q42" s="25"/>
      <c r="R42" s="25"/>
      <c r="S42" s="25"/>
      <c r="T42" s="25"/>
      <c r="U42" s="75" t="str">
        <f>IF(I42&lt;&gt;J42,A42&amp;" ("&amp;I42&amp;", "&amp;J42&amp;")"&amp;", ","")</f>
        <v/>
      </c>
      <c r="V42" s="25"/>
      <c r="W42" s="25"/>
      <c r="X42" s="25"/>
    </row>
    <row r="43" spans="1:24" customFormat="1" ht="12.65" customHeight="1" thickBot="1" x14ac:dyDescent="0.4">
      <c r="A43" s="294" t="s">
        <v>733</v>
      </c>
      <c r="B43" s="391"/>
      <c r="C43" s="301" t="s">
        <v>810</v>
      </c>
      <c r="D43" s="302"/>
      <c r="E43" s="302"/>
      <c r="F43" s="302"/>
      <c r="G43" s="303"/>
      <c r="H43" s="306">
        <v>0</v>
      </c>
      <c r="I43" s="306">
        <v>0</v>
      </c>
      <c r="J43" s="402">
        <v>0</v>
      </c>
      <c r="K43" s="45">
        <f t="shared" si="3"/>
        <v>0</v>
      </c>
      <c r="L43" s="45" t="str">
        <f t="shared" si="4"/>
        <v>-</v>
      </c>
      <c r="M43" s="45"/>
      <c r="N43" s="25"/>
      <c r="O43" s="25"/>
      <c r="P43" s="25"/>
      <c r="Q43" s="25"/>
      <c r="R43" s="25"/>
      <c r="S43" s="25"/>
      <c r="T43" s="25"/>
      <c r="U43" s="31" t="str">
        <f>IF(I43&lt;&gt;J43,A43&amp;" ("&amp;I43&amp;", "&amp;J43&amp;")"&amp;", ","")</f>
        <v/>
      </c>
      <c r="V43" s="25"/>
      <c r="W43" s="25"/>
      <c r="X43" s="25"/>
    </row>
    <row r="44" spans="1:24" customFormat="1" ht="12.65" customHeight="1" thickBot="1" x14ac:dyDescent="0.4">
      <c r="A44" s="294" t="s">
        <v>734</v>
      </c>
      <c r="B44" s="391"/>
      <c r="C44" s="301" t="s">
        <v>622</v>
      </c>
      <c r="D44" s="302"/>
      <c r="E44" s="302"/>
      <c r="F44" s="302"/>
      <c r="G44" s="303"/>
      <c r="H44" s="306">
        <v>54234</v>
      </c>
      <c r="I44" s="306">
        <v>64315</v>
      </c>
      <c r="J44" s="402">
        <v>64315</v>
      </c>
      <c r="K44" s="45">
        <f t="shared" si="3"/>
        <v>-10081</v>
      </c>
      <c r="L44" s="45">
        <f t="shared" si="4"/>
        <v>0.18587970645720397</v>
      </c>
      <c r="M44" s="45"/>
      <c r="N44" s="25"/>
      <c r="O44" s="25"/>
      <c r="P44" s="25"/>
      <c r="Q44" s="25"/>
      <c r="R44" s="25"/>
      <c r="S44" s="25"/>
      <c r="T44" s="25"/>
      <c r="U44" s="31" t="str">
        <f>IF(I44&lt;&gt;J44,A44&amp;" ("&amp;I44&amp;", "&amp;J44&amp;")"&amp;", ","")</f>
        <v/>
      </c>
      <c r="V44" s="25"/>
      <c r="W44" s="25"/>
      <c r="X44" s="25"/>
    </row>
    <row r="45" spans="1:24" customFormat="1" ht="12.65" customHeight="1" thickBot="1" x14ac:dyDescent="0.4">
      <c r="A45" s="294" t="s">
        <v>811</v>
      </c>
      <c r="B45" s="391"/>
      <c r="C45" s="301" t="s">
        <v>812</v>
      </c>
      <c r="D45" s="302"/>
      <c r="E45" s="302"/>
      <c r="F45" s="302"/>
      <c r="G45" s="303"/>
      <c r="H45" s="306">
        <v>-214479</v>
      </c>
      <c r="I45" s="306">
        <v>-192502</v>
      </c>
      <c r="J45" s="402">
        <v>-192502</v>
      </c>
      <c r="K45" s="45">
        <f t="shared" si="3"/>
        <v>-21977</v>
      </c>
      <c r="L45" s="45">
        <f t="shared" si="4"/>
        <v>0.11416504763586872</v>
      </c>
      <c r="M45" s="45"/>
      <c r="N45" s="25"/>
      <c r="O45" s="25"/>
      <c r="P45" s="25"/>
      <c r="Q45" s="25"/>
      <c r="R45" s="25"/>
      <c r="S45" s="25"/>
      <c r="T45" s="25"/>
      <c r="U45" s="25"/>
      <c r="V45" s="25"/>
      <c r="W45" s="25"/>
      <c r="X45" s="25"/>
    </row>
    <row r="46" spans="1:24" customFormat="1" ht="12.65" customHeight="1" thickBot="1" x14ac:dyDescent="0.4">
      <c r="A46" s="294" t="s">
        <v>813</v>
      </c>
      <c r="B46" s="391"/>
      <c r="C46" s="301" t="s">
        <v>814</v>
      </c>
      <c r="D46" s="302"/>
      <c r="E46" s="302"/>
      <c r="F46" s="302"/>
      <c r="G46" s="303"/>
      <c r="H46" s="306">
        <v>-946</v>
      </c>
      <c r="I46" s="306">
        <v>-1087</v>
      </c>
      <c r="J46" s="402">
        <v>-1087</v>
      </c>
      <c r="K46" s="45">
        <f t="shared" si="3"/>
        <v>141</v>
      </c>
      <c r="L46" s="45">
        <f t="shared" si="4"/>
        <v>0.14904862579281183</v>
      </c>
      <c r="M46" s="45"/>
      <c r="N46" s="25"/>
      <c r="O46" s="25"/>
      <c r="P46" s="25"/>
      <c r="Q46" s="25"/>
      <c r="R46" s="25"/>
      <c r="S46" s="25"/>
      <c r="T46" s="25"/>
      <c r="U46" s="75" t="str">
        <f>IF(I46&lt;&gt;J46,A46&amp;" ("&amp;I46&amp;", "&amp;J46&amp;")"&amp;", ","")</f>
        <v/>
      </c>
      <c r="V46" s="25"/>
      <c r="W46" s="25"/>
      <c r="X46" s="25"/>
    </row>
    <row r="47" spans="1:24" customFormat="1" ht="12.65" customHeight="1" thickBot="1" x14ac:dyDescent="0.4">
      <c r="A47" s="294" t="s">
        <v>815</v>
      </c>
      <c r="B47" s="100"/>
      <c r="C47" s="301" t="s">
        <v>816</v>
      </c>
      <c r="D47" s="302"/>
      <c r="E47" s="302"/>
      <c r="F47" s="18"/>
      <c r="G47" s="360"/>
      <c r="H47" s="306">
        <v>-1093824</v>
      </c>
      <c r="I47" s="306">
        <v>-386685</v>
      </c>
      <c r="J47" s="402">
        <v>-386685</v>
      </c>
      <c r="K47" s="45">
        <f t="shared" si="3"/>
        <v>-707139</v>
      </c>
      <c r="L47" s="45">
        <f t="shared" si="4"/>
        <v>1.8287210520190853</v>
      </c>
      <c r="M47" s="45"/>
      <c r="N47" s="25"/>
      <c r="O47" s="25"/>
      <c r="P47" s="25"/>
      <c r="Q47" s="25"/>
      <c r="R47" s="25"/>
      <c r="S47" s="25"/>
      <c r="T47" s="25"/>
      <c r="U47" s="31" t="str">
        <f>IF(I47&lt;&gt;J47,A47&amp;" ("&amp;I47&amp;", "&amp;J47&amp;")"&amp;", ","")</f>
        <v/>
      </c>
      <c r="V47" s="25"/>
      <c r="W47" s="25"/>
      <c r="X47" s="25"/>
    </row>
    <row r="48" spans="1:24" customFormat="1" ht="12.65" customHeight="1" thickBot="1" x14ac:dyDescent="0.4">
      <c r="A48" s="294" t="s">
        <v>817</v>
      </c>
      <c r="B48" s="391"/>
      <c r="C48" s="301" t="s">
        <v>818</v>
      </c>
      <c r="D48" s="302"/>
      <c r="E48" s="302"/>
      <c r="F48" s="302"/>
      <c r="G48" s="303"/>
      <c r="H48" s="306">
        <v>0</v>
      </c>
      <c r="I48" s="306">
        <v>150300</v>
      </c>
      <c r="J48" s="402">
        <v>150300</v>
      </c>
      <c r="K48" s="45">
        <f t="shared" si="3"/>
        <v>-150300</v>
      </c>
      <c r="L48" s="45">
        <f t="shared" si="4"/>
        <v>10</v>
      </c>
      <c r="M48" s="45"/>
      <c r="N48" s="27" t="s">
        <v>819</v>
      </c>
      <c r="O48" s="53"/>
      <c r="P48" s="53"/>
      <c r="Q48" s="53"/>
      <c r="R48" s="53"/>
      <c r="S48" s="53"/>
      <c r="T48" s="53"/>
      <c r="U48" s="31" t="str">
        <f>IF(I48&lt;&gt;J48,A48&amp;" ("&amp;I48&amp;", "&amp;J48&amp;")"&amp;", ","")</f>
        <v/>
      </c>
      <c r="V48" s="25"/>
      <c r="W48" s="25"/>
      <c r="X48" s="25"/>
    </row>
    <row r="49" spans="1:24" x14ac:dyDescent="0.25">
      <c r="A49" s="294" t="s">
        <v>820</v>
      </c>
      <c r="B49" s="391"/>
      <c r="C49" s="301" t="s">
        <v>110</v>
      </c>
      <c r="D49" s="302"/>
      <c r="E49" s="302"/>
      <c r="F49" s="302"/>
      <c r="G49" s="303"/>
      <c r="H49" s="306">
        <v>0</v>
      </c>
      <c r="I49" s="306">
        <v>-1510</v>
      </c>
      <c r="J49" s="402">
        <v>-1510</v>
      </c>
      <c r="K49" s="45">
        <f t="shared" si="3"/>
        <v>1510</v>
      </c>
      <c r="L49" s="45">
        <f t="shared" si="4"/>
        <v>10</v>
      </c>
      <c r="M49" s="45"/>
      <c r="N49" s="405"/>
      <c r="O49" s="406"/>
      <c r="P49" s="406"/>
      <c r="Q49" s="406"/>
      <c r="R49" s="406"/>
      <c r="S49" s="406"/>
      <c r="T49" s="406"/>
      <c r="U49" s="406"/>
    </row>
    <row r="50" spans="1:24" customFormat="1" ht="13" customHeight="1" x14ac:dyDescent="0.35">
      <c r="A50" s="294" t="s">
        <v>821</v>
      </c>
      <c r="B50" s="307" t="s">
        <v>822</v>
      </c>
      <c r="C50" s="337"/>
      <c r="D50" s="337"/>
      <c r="E50" s="337"/>
      <c r="F50" s="337"/>
      <c r="G50" s="338"/>
      <c r="H50" s="310">
        <f>SUM(H39:H49)</f>
        <v>-68807</v>
      </c>
      <c r="I50" s="310">
        <f>SUM(I39:I49)</f>
        <v>-189838</v>
      </c>
      <c r="J50" s="411">
        <f>SUM(J39:J49)</f>
        <v>-189838</v>
      </c>
      <c r="K50" s="45">
        <f t="shared" si="3"/>
        <v>121031</v>
      </c>
      <c r="L50" s="45">
        <f t="shared" si="4"/>
        <v>1.7589925443632188</v>
      </c>
      <c r="M50" s="45"/>
      <c r="N50" s="25"/>
      <c r="O50" s="25"/>
      <c r="P50" s="25"/>
      <c r="Q50" s="25"/>
      <c r="R50" s="25"/>
      <c r="S50" s="25"/>
      <c r="T50" s="25"/>
      <c r="U50" s="25"/>
      <c r="V50" s="25"/>
      <c r="W50" s="25"/>
      <c r="X50" s="25"/>
    </row>
    <row r="51" spans="1:24" x14ac:dyDescent="0.25">
      <c r="A51" s="412"/>
      <c r="B51" s="311"/>
      <c r="C51" s="312"/>
      <c r="D51" s="312"/>
      <c r="E51" s="312"/>
      <c r="F51" s="312"/>
      <c r="G51" s="313"/>
      <c r="H51" s="413"/>
      <c r="I51" s="413"/>
      <c r="J51" s="413"/>
      <c r="K51" s="45"/>
      <c r="L51" s="45"/>
      <c r="M51" s="45"/>
    </row>
    <row r="52" spans="1:24" customFormat="1" ht="12.65" customHeight="1" thickBot="1" x14ac:dyDescent="0.4">
      <c r="A52" s="294">
        <v>8</v>
      </c>
      <c r="B52" s="295" t="s">
        <v>823</v>
      </c>
      <c r="C52" s="296"/>
      <c r="D52" s="296"/>
      <c r="E52" s="296"/>
      <c r="F52" s="296"/>
      <c r="G52" s="297"/>
      <c r="H52" s="315"/>
      <c r="I52" s="315"/>
      <c r="J52" s="315"/>
      <c r="K52" s="45"/>
      <c r="L52" s="45"/>
      <c r="M52" s="45"/>
      <c r="N52" s="25"/>
      <c r="O52" s="25"/>
      <c r="P52" s="25"/>
      <c r="Q52" s="25"/>
      <c r="R52" s="25"/>
      <c r="S52" s="25"/>
      <c r="T52" s="25"/>
      <c r="U52" s="25"/>
      <c r="V52" s="25"/>
      <c r="W52" s="25"/>
      <c r="X52" s="25"/>
    </row>
    <row r="53" spans="1:24" customFormat="1" ht="12.65" customHeight="1" thickBot="1" x14ac:dyDescent="0.4">
      <c r="A53" s="294" t="s">
        <v>737</v>
      </c>
      <c r="B53" s="391"/>
      <c r="C53" s="301" t="s">
        <v>824</v>
      </c>
      <c r="D53" s="302"/>
      <c r="E53" s="302"/>
      <c r="F53" s="302"/>
      <c r="G53" s="303"/>
      <c r="H53" s="306">
        <v>-14016</v>
      </c>
      <c r="I53" s="306">
        <v>-14302</v>
      </c>
      <c r="J53" s="402">
        <v>-14302</v>
      </c>
      <c r="K53" s="45">
        <f t="shared" ref="K53:K63" si="5">H53-I53</f>
        <v>286</v>
      </c>
      <c r="L53" s="45">
        <f t="shared" ref="L53:L63" si="6">IF(AND(OR(H53=0,I53&lt;&gt;0),OR(I53=0,H53&lt;&gt;0)),IF((H53+I53+K53&lt;&gt;0),IF(AND(OR(H53&gt;0,I53&lt;0),OR(I53&gt;0,H53&lt;0)),ABS(K53/MIN(ABS(I53),ABS(H53))),10),"-"),10)</f>
        <v>2.0405251141552512E-2</v>
      </c>
      <c r="M53" s="45"/>
      <c r="N53" s="25"/>
      <c r="O53" s="25"/>
      <c r="P53" s="25"/>
      <c r="Q53" s="25"/>
      <c r="R53" s="25"/>
      <c r="S53" s="25"/>
      <c r="T53" s="25"/>
      <c r="U53" s="75" t="str">
        <f>IF(I53&lt;&gt;J53,A53&amp;" ("&amp;I53&amp;", "&amp;J53&amp;")"&amp;", ","")</f>
        <v/>
      </c>
      <c r="V53" s="25"/>
      <c r="W53" s="25"/>
      <c r="X53" s="25"/>
    </row>
    <row r="54" spans="1:24" customFormat="1" ht="12.65" customHeight="1" thickBot="1" x14ac:dyDescent="0.4">
      <c r="A54" s="294" t="s">
        <v>739</v>
      </c>
      <c r="B54" s="391"/>
      <c r="C54" s="301" t="s">
        <v>825</v>
      </c>
      <c r="D54" s="302"/>
      <c r="E54" s="302"/>
      <c r="F54" s="302"/>
      <c r="G54" s="303"/>
      <c r="H54" s="306">
        <v>-24</v>
      </c>
      <c r="I54" s="306">
        <v>0</v>
      </c>
      <c r="J54" s="402">
        <v>0</v>
      </c>
      <c r="K54" s="45">
        <f t="shared" si="5"/>
        <v>-24</v>
      </c>
      <c r="L54" s="45">
        <f t="shared" si="6"/>
        <v>10</v>
      </c>
      <c r="M54" s="45"/>
      <c r="N54" s="25"/>
      <c r="O54" s="25"/>
      <c r="P54" s="25"/>
      <c r="Q54" s="25"/>
      <c r="R54" s="25"/>
      <c r="S54" s="25"/>
      <c r="T54" s="25"/>
      <c r="U54" s="31" t="str">
        <f>IF(I54&lt;&gt;J54,A54&amp;" ("&amp;I54&amp;", "&amp;J54&amp;")"&amp;", ","")</f>
        <v/>
      </c>
      <c r="V54" s="25"/>
      <c r="W54" s="25"/>
      <c r="X54" s="25"/>
    </row>
    <row r="55" spans="1:24" customFormat="1" ht="12.65" customHeight="1" thickBot="1" x14ac:dyDescent="0.4">
      <c r="A55" s="294" t="s">
        <v>741</v>
      </c>
      <c r="B55" s="391"/>
      <c r="C55" s="301" t="s">
        <v>826</v>
      </c>
      <c r="D55" s="302"/>
      <c r="E55" s="302"/>
      <c r="F55" s="302"/>
      <c r="G55" s="303"/>
      <c r="H55" s="306">
        <v>17969</v>
      </c>
      <c r="I55" s="306">
        <v>6225</v>
      </c>
      <c r="J55" s="402">
        <v>6225</v>
      </c>
      <c r="K55" s="45">
        <f t="shared" si="5"/>
        <v>11744</v>
      </c>
      <c r="L55" s="45">
        <f t="shared" si="6"/>
        <v>1.8865863453815261</v>
      </c>
      <c r="M55" s="45"/>
      <c r="N55" s="25"/>
      <c r="O55" s="25"/>
      <c r="P55" s="25"/>
      <c r="Q55" s="25"/>
      <c r="R55" s="25"/>
      <c r="S55" s="25"/>
      <c r="T55" s="25"/>
      <c r="U55" s="31" t="str">
        <f>IF(I55&lt;&gt;J55,A55&amp;" ("&amp;I55&amp;", "&amp;J55&amp;")"&amp;", ","")</f>
        <v/>
      </c>
      <c r="V55" s="25"/>
      <c r="W55" s="25"/>
      <c r="X55" s="25"/>
    </row>
    <row r="56" spans="1:24" customFormat="1" ht="12.65" customHeight="1" thickBot="1" x14ac:dyDescent="0.4">
      <c r="A56" s="294" t="s">
        <v>827</v>
      </c>
      <c r="B56" s="391"/>
      <c r="C56" s="301" t="s">
        <v>828</v>
      </c>
      <c r="D56" s="302"/>
      <c r="E56" s="302"/>
      <c r="F56" s="302"/>
      <c r="G56" s="303"/>
      <c r="H56" s="306">
        <v>0</v>
      </c>
      <c r="I56" s="306">
        <v>0</v>
      </c>
      <c r="J56" s="366">
        <v>0</v>
      </c>
      <c r="K56" s="45">
        <f t="shared" si="5"/>
        <v>0</v>
      </c>
      <c r="L56" s="45" t="str">
        <f t="shared" si="6"/>
        <v>-</v>
      </c>
      <c r="M56" s="45"/>
      <c r="N56" s="25"/>
      <c r="O56" s="25"/>
      <c r="P56" s="25"/>
      <c r="Q56" s="25"/>
      <c r="R56" s="25"/>
      <c r="S56" s="25"/>
      <c r="T56" s="25"/>
      <c r="U56" s="25"/>
      <c r="V56" s="25"/>
      <c r="W56" s="25"/>
      <c r="X56" s="25"/>
    </row>
    <row r="57" spans="1:24" customFormat="1" ht="12.65" customHeight="1" thickBot="1" x14ac:dyDescent="0.4">
      <c r="A57" s="294" t="s">
        <v>829</v>
      </c>
      <c r="B57" s="391"/>
      <c r="C57" s="301" t="s">
        <v>830</v>
      </c>
      <c r="D57" s="302"/>
      <c r="E57" s="302"/>
      <c r="F57" s="302"/>
      <c r="G57" s="303"/>
      <c r="H57" s="306">
        <v>0</v>
      </c>
      <c r="I57" s="306">
        <v>13300</v>
      </c>
      <c r="J57" s="402">
        <v>13300</v>
      </c>
      <c r="K57" s="45">
        <f t="shared" si="5"/>
        <v>-13300</v>
      </c>
      <c r="L57" s="45">
        <f t="shared" si="6"/>
        <v>10</v>
      </c>
      <c r="M57" s="45"/>
      <c r="N57" s="25"/>
      <c r="O57" s="25"/>
      <c r="P57" s="25"/>
      <c r="Q57" s="25"/>
      <c r="R57" s="25"/>
      <c r="S57" s="25"/>
      <c r="T57" s="25"/>
      <c r="U57" s="75" t="str">
        <f>IF(I57&lt;&gt;J57,A57&amp;" ("&amp;I57&amp;", "&amp;J57&amp;")"&amp;", ","")</f>
        <v/>
      </c>
      <c r="V57" s="25"/>
      <c r="W57" s="25"/>
      <c r="X57" s="25"/>
    </row>
    <row r="58" spans="1:24" customFormat="1" ht="12.65" customHeight="1" thickBot="1" x14ac:dyDescent="0.4">
      <c r="A58" s="294" t="s">
        <v>831</v>
      </c>
      <c r="B58" s="391"/>
      <c r="C58" s="301" t="s">
        <v>832</v>
      </c>
      <c r="D58" s="302"/>
      <c r="E58" s="302"/>
      <c r="F58" s="302"/>
      <c r="G58" s="303"/>
      <c r="H58" s="306">
        <v>0</v>
      </c>
      <c r="I58" s="306">
        <v>0</v>
      </c>
      <c r="J58" s="402">
        <v>0</v>
      </c>
      <c r="K58" s="45">
        <f t="shared" si="5"/>
        <v>0</v>
      </c>
      <c r="L58" s="45" t="str">
        <f t="shared" si="6"/>
        <v>-</v>
      </c>
      <c r="M58" s="45"/>
      <c r="N58" s="25"/>
      <c r="O58" s="25"/>
      <c r="P58" s="25"/>
      <c r="Q58" s="25"/>
      <c r="R58" s="25"/>
      <c r="S58" s="25"/>
      <c r="T58" s="25"/>
      <c r="U58" s="31" t="str">
        <f>IF(I58&lt;&gt;J58,A58&amp;" ("&amp;I58&amp;", "&amp;J58&amp;")"&amp;", ","")</f>
        <v/>
      </c>
      <c r="V58" s="25"/>
      <c r="W58" s="25"/>
      <c r="X58" s="25"/>
    </row>
    <row r="59" spans="1:24" customFormat="1" ht="12.65" customHeight="1" thickBot="1" x14ac:dyDescent="0.4">
      <c r="A59" s="294" t="s">
        <v>833</v>
      </c>
      <c r="B59" s="391"/>
      <c r="C59" s="301" t="s">
        <v>834</v>
      </c>
      <c r="D59" s="302"/>
      <c r="E59" s="302"/>
      <c r="F59" s="302"/>
      <c r="G59" s="303"/>
      <c r="H59" s="306">
        <v>-10965</v>
      </c>
      <c r="I59" s="306">
        <v>-11338</v>
      </c>
      <c r="J59" s="402">
        <v>-11338</v>
      </c>
      <c r="K59" s="45">
        <f t="shared" si="5"/>
        <v>373</v>
      </c>
      <c r="L59" s="45">
        <f t="shared" si="6"/>
        <v>3.4017327861377109E-2</v>
      </c>
      <c r="M59" s="45"/>
      <c r="N59" s="25"/>
      <c r="O59" s="25"/>
      <c r="P59" s="25"/>
      <c r="Q59" s="25"/>
      <c r="R59" s="25"/>
      <c r="S59" s="25"/>
      <c r="T59" s="25"/>
      <c r="U59" s="31" t="str">
        <f>IF(I59&lt;&gt;J59,A59&amp;" ("&amp;I59&amp;", "&amp;J59&amp;")"&amp;", ","")</f>
        <v/>
      </c>
      <c r="V59" s="25"/>
      <c r="W59" s="25"/>
      <c r="X59" s="25"/>
    </row>
    <row r="60" spans="1:24" customFormat="1" ht="12.65" customHeight="1" thickBot="1" x14ac:dyDescent="0.4">
      <c r="A60" s="294" t="s">
        <v>835</v>
      </c>
      <c r="B60" s="391"/>
      <c r="C60" s="301" t="s">
        <v>836</v>
      </c>
      <c r="D60" s="302"/>
      <c r="E60" s="302"/>
      <c r="F60" s="302"/>
      <c r="G60" s="303"/>
      <c r="H60" s="306">
        <v>-114</v>
      </c>
      <c r="I60" s="306">
        <v>0</v>
      </c>
      <c r="J60" s="402">
        <v>0</v>
      </c>
      <c r="K60" s="45">
        <f t="shared" si="5"/>
        <v>-114</v>
      </c>
      <c r="L60" s="45">
        <f t="shared" si="6"/>
        <v>10</v>
      </c>
      <c r="M60" s="45"/>
      <c r="N60" s="25"/>
      <c r="O60" s="25"/>
      <c r="P60" s="25"/>
      <c r="Q60" s="25"/>
      <c r="R60" s="25"/>
      <c r="S60" s="25"/>
      <c r="T60" s="25"/>
      <c r="U60" s="31" t="str">
        <f>IF(I60&lt;&gt;J60,A60&amp;" ("&amp;I60&amp;", "&amp;J60&amp;")"&amp;", ","")</f>
        <v/>
      </c>
      <c r="V60" s="25"/>
      <c r="W60" s="25"/>
      <c r="X60" s="25"/>
    </row>
    <row r="61" spans="1:24" customFormat="1" ht="12.65" customHeight="1" thickBot="1" x14ac:dyDescent="0.4">
      <c r="A61" s="294" t="s">
        <v>837</v>
      </c>
      <c r="B61" s="100"/>
      <c r="C61" s="301" t="s">
        <v>838</v>
      </c>
      <c r="D61" s="302"/>
      <c r="E61" s="302"/>
      <c r="F61" s="18"/>
      <c r="G61" s="360"/>
      <c r="H61" s="306">
        <v>0</v>
      </c>
      <c r="I61" s="306">
        <v>0</v>
      </c>
      <c r="J61" s="366">
        <v>0</v>
      </c>
      <c r="K61" s="45">
        <f t="shared" si="5"/>
        <v>0</v>
      </c>
      <c r="L61" s="45" t="str">
        <f t="shared" si="6"/>
        <v>-</v>
      </c>
      <c r="M61" s="45"/>
      <c r="N61" s="27" t="s">
        <v>839</v>
      </c>
      <c r="O61" s="53"/>
      <c r="P61" s="53"/>
      <c r="Q61" s="53"/>
      <c r="R61" s="53"/>
      <c r="S61" s="53"/>
      <c r="T61" s="53"/>
      <c r="U61" s="53"/>
      <c r="V61" s="25"/>
      <c r="W61" s="25"/>
      <c r="X61" s="25"/>
    </row>
    <row r="62" spans="1:24" customFormat="1" ht="12.65" customHeight="1" thickBot="1" x14ac:dyDescent="0.4">
      <c r="A62" s="294" t="s">
        <v>840</v>
      </c>
      <c r="B62" s="391"/>
      <c r="C62" s="301" t="s">
        <v>110</v>
      </c>
      <c r="D62" s="302"/>
      <c r="E62" s="302"/>
      <c r="F62" s="302"/>
      <c r="G62" s="303"/>
      <c r="H62" s="306">
        <v>0</v>
      </c>
      <c r="I62" s="306">
        <v>0</v>
      </c>
      <c r="J62" s="402">
        <v>0</v>
      </c>
      <c r="K62" s="45">
        <f t="shared" si="5"/>
        <v>0</v>
      </c>
      <c r="L62" s="45" t="str">
        <f t="shared" si="6"/>
        <v>-</v>
      </c>
      <c r="M62" s="45"/>
      <c r="N62" s="405"/>
      <c r="O62" s="406"/>
      <c r="P62" s="406"/>
      <c r="Q62" s="406"/>
      <c r="R62" s="406"/>
      <c r="S62" s="406"/>
      <c r="T62" s="406"/>
      <c r="U62" s="75" t="str">
        <f>IF(I62&lt;&gt;J62,A62&amp;" ("&amp;I62&amp;", "&amp;J62&amp;")"&amp;", ","")</f>
        <v/>
      </c>
      <c r="V62" s="25"/>
      <c r="W62" s="25"/>
      <c r="X62" s="25"/>
    </row>
    <row r="63" spans="1:24" customFormat="1" ht="13" customHeight="1" x14ac:dyDescent="0.35">
      <c r="A63" s="294" t="s">
        <v>841</v>
      </c>
      <c r="B63" s="307" t="s">
        <v>842</v>
      </c>
      <c r="C63" s="337"/>
      <c r="D63" s="337"/>
      <c r="E63" s="337"/>
      <c r="F63" s="337"/>
      <c r="G63" s="338"/>
      <c r="H63" s="310">
        <f>SUM(H53:H62)</f>
        <v>-7150</v>
      </c>
      <c r="I63" s="310">
        <f>SUM(I53:I62)</f>
        <v>-6115</v>
      </c>
      <c r="J63" s="414">
        <f>SUM(J53:J62)</f>
        <v>-6115</v>
      </c>
      <c r="K63" s="45">
        <f t="shared" si="5"/>
        <v>-1035</v>
      </c>
      <c r="L63" s="45">
        <f t="shared" si="6"/>
        <v>0.16925592804578904</v>
      </c>
      <c r="M63" s="45"/>
      <c r="N63" s="25"/>
      <c r="O63" s="25"/>
      <c r="P63" s="25"/>
      <c r="Q63" s="25"/>
      <c r="R63" s="25"/>
      <c r="S63" s="25"/>
      <c r="T63" s="25"/>
      <c r="U63" s="25"/>
      <c r="V63" s="25"/>
      <c r="W63" s="25"/>
      <c r="X63" s="25"/>
    </row>
    <row r="64" spans="1:24" x14ac:dyDescent="0.25">
      <c r="A64" s="294"/>
      <c r="B64" s="311"/>
      <c r="C64" s="312"/>
      <c r="D64" s="312"/>
      <c r="E64" s="312"/>
      <c r="F64" s="312"/>
      <c r="G64" s="313"/>
      <c r="H64" s="314"/>
      <c r="I64" s="314"/>
      <c r="J64" s="314"/>
      <c r="K64" s="45"/>
      <c r="L64" s="45"/>
      <c r="M64" s="45"/>
    </row>
    <row r="65" spans="1:24" customFormat="1" ht="13" customHeight="1" x14ac:dyDescent="0.35">
      <c r="A65" s="294">
        <v>9</v>
      </c>
      <c r="B65" s="307" t="s">
        <v>843</v>
      </c>
      <c r="C65" s="337"/>
      <c r="D65" s="337"/>
      <c r="E65" s="337"/>
      <c r="F65" s="337"/>
      <c r="G65" s="338"/>
      <c r="H65" s="310">
        <f>H36+H50+H63</f>
        <v>-23089</v>
      </c>
      <c r="I65" s="310">
        <f>I36+I50+I63</f>
        <v>-215613</v>
      </c>
      <c r="J65" s="411">
        <f>J36+J50+J63</f>
        <v>-215613</v>
      </c>
      <c r="K65" s="45">
        <f>H65-I65</f>
        <v>192524</v>
      </c>
      <c r="L65" s="45">
        <f>IF(AND(OR(H65=0,I65&lt;&gt;0),OR(I65=0,H65&lt;&gt;0)),IF((H65+I65+K65&lt;&gt;0),IF(AND(OR(H65&gt;0,I65&lt;0),OR(I65&gt;0,H65&lt;0)),ABS(K65/MIN(ABS(I65),ABS(H65))),10),"-"),10)</f>
        <v>8.3383429338646113</v>
      </c>
      <c r="M65" s="45"/>
      <c r="N65" s="25"/>
      <c r="O65" s="25"/>
      <c r="P65" s="25"/>
      <c r="Q65" s="25"/>
      <c r="R65" s="25"/>
      <c r="S65" s="25"/>
      <c r="T65" s="25"/>
      <c r="U65" s="25"/>
      <c r="V65" s="25"/>
      <c r="W65" s="25"/>
      <c r="X65" s="25"/>
    </row>
    <row r="66" spans="1:24" customFormat="1" ht="12.65" customHeight="1" thickBot="1" x14ac:dyDescent="0.4">
      <c r="A66" s="294"/>
      <c r="B66" s="101"/>
      <c r="C66" s="302"/>
      <c r="D66" s="302"/>
      <c r="E66" s="302"/>
      <c r="F66" s="102"/>
      <c r="G66" s="360"/>
      <c r="H66" s="103"/>
      <c r="I66" s="103"/>
      <c r="J66" s="103"/>
      <c r="K66" s="45"/>
      <c r="L66" s="45"/>
      <c r="M66" s="45"/>
      <c r="N66" s="25"/>
      <c r="O66" s="25"/>
      <c r="P66" s="25"/>
      <c r="Q66" s="25"/>
      <c r="R66" s="25"/>
      <c r="S66" s="25"/>
      <c r="T66" s="25"/>
      <c r="U66" s="25"/>
      <c r="V66" s="25"/>
      <c r="W66" s="25"/>
      <c r="X66" s="25"/>
    </row>
    <row r="67" spans="1:24" customFormat="1" ht="12.65" customHeight="1" thickBot="1" x14ac:dyDescent="0.4">
      <c r="A67" s="294">
        <v>10</v>
      </c>
      <c r="B67" s="307" t="s">
        <v>844</v>
      </c>
      <c r="C67" s="337"/>
      <c r="D67" s="337"/>
      <c r="E67" s="337"/>
      <c r="F67" s="337"/>
      <c r="G67" s="338"/>
      <c r="H67" s="415">
        <f>I71</f>
        <v>240087</v>
      </c>
      <c r="I67" s="10">
        <v>455700</v>
      </c>
      <c r="J67" s="416">
        <v>455700</v>
      </c>
      <c r="K67" s="45">
        <f>H67-I67</f>
        <v>-215613</v>
      </c>
      <c r="L67" s="45">
        <f>IF(AND(OR(H67=0,I67&lt;&gt;0),OR(I67=0,H67&lt;&gt;0)),IF((H67+I67+K67&lt;&gt;0),IF(AND(OR(H67&gt;0,I67&lt;0),OR(I67&gt;0,H67&lt;0)),ABS(K67/MIN(ABS(I67),ABS(H67))),10),"-"),10)</f>
        <v>0.89806195254220345</v>
      </c>
      <c r="M67" s="45"/>
      <c r="N67" s="25"/>
      <c r="O67" s="25"/>
      <c r="P67" s="25"/>
      <c r="Q67" s="25"/>
      <c r="R67" s="25"/>
      <c r="S67" s="25"/>
      <c r="T67" s="25"/>
      <c r="U67" s="75" t="str">
        <f>IF(I67&lt;&gt;J67,A67&amp;" ("&amp;I67&amp;", "&amp;J67&amp;")"&amp;", ","")</f>
        <v/>
      </c>
      <c r="V67" s="25"/>
      <c r="W67" s="25"/>
      <c r="X67" s="25"/>
    </row>
    <row r="68" spans="1:24" customFormat="1" ht="13" customHeight="1" x14ac:dyDescent="0.35">
      <c r="A68" s="294"/>
      <c r="B68" s="101"/>
      <c r="C68" s="302"/>
      <c r="D68" s="302"/>
      <c r="E68" s="302"/>
      <c r="F68" s="102"/>
      <c r="G68" s="360"/>
      <c r="H68" s="103"/>
      <c r="I68" s="103"/>
      <c r="J68" s="103"/>
      <c r="K68" s="45"/>
      <c r="L68" s="45"/>
      <c r="M68" s="45"/>
      <c r="N68" s="25"/>
      <c r="O68" s="25"/>
      <c r="P68" s="25"/>
      <c r="Q68" s="25"/>
      <c r="R68" s="25"/>
      <c r="S68" s="25"/>
      <c r="T68" s="25"/>
      <c r="U68" s="25"/>
      <c r="V68" s="25"/>
      <c r="W68" s="25"/>
      <c r="X68" s="25"/>
    </row>
    <row r="69" spans="1:24" customFormat="1" ht="13" customHeight="1" x14ac:dyDescent="0.35">
      <c r="A69" s="294">
        <v>11</v>
      </c>
      <c r="B69" s="101" t="s">
        <v>845</v>
      </c>
      <c r="C69" s="7"/>
      <c r="D69" s="417"/>
      <c r="E69" s="417"/>
      <c r="F69" s="417"/>
      <c r="G69" s="418"/>
      <c r="H69" s="10">
        <v>0</v>
      </c>
      <c r="I69" s="10">
        <v>0</v>
      </c>
      <c r="J69" s="20">
        <v>0</v>
      </c>
      <c r="K69" s="45">
        <f>H69-I69</f>
        <v>0</v>
      </c>
      <c r="L69" s="45" t="str">
        <f>IF(AND(OR(H69=0,I69&lt;&gt;0),OR(I69=0,H69&lt;&gt;0)),IF((H69+I69+K69&lt;&gt;0),IF(AND(OR(H69&gt;0,I69&lt;0),OR(I69&gt;0,H69&lt;0)),ABS(K69/MIN(ABS(I69),ABS(H69))),10),"-"),10)</f>
        <v>-</v>
      </c>
      <c r="M69" s="45"/>
      <c r="N69" s="25"/>
      <c r="O69" s="25"/>
      <c r="P69" s="25"/>
      <c r="Q69" s="25"/>
      <c r="R69" s="25"/>
      <c r="S69" s="25"/>
      <c r="T69" s="25"/>
      <c r="U69" s="25"/>
      <c r="V69" s="25"/>
      <c r="W69" s="419" t="s">
        <v>846</v>
      </c>
      <c r="X69" s="25"/>
    </row>
    <row r="70" spans="1:24" customFormat="1" ht="13" customHeight="1" x14ac:dyDescent="0.35">
      <c r="A70" s="294"/>
      <c r="B70" s="101"/>
      <c r="C70" s="302"/>
      <c r="D70" s="302"/>
      <c r="E70" s="302"/>
      <c r="F70" s="102"/>
      <c r="G70" s="360"/>
      <c r="H70" s="103"/>
      <c r="I70" s="103"/>
      <c r="J70" s="103"/>
      <c r="K70" s="45"/>
      <c r="L70" s="45"/>
      <c r="M70" s="45"/>
      <c r="N70" s="25"/>
      <c r="O70" s="25"/>
      <c r="P70" s="25"/>
      <c r="Q70" s="25"/>
      <c r="R70" s="25"/>
      <c r="S70" s="25"/>
      <c r="T70" s="25"/>
      <c r="U70" s="25"/>
      <c r="V70" s="25"/>
      <c r="W70" s="25"/>
      <c r="X70" s="25"/>
    </row>
    <row r="71" spans="1:24" customFormat="1" ht="13" customHeight="1" x14ac:dyDescent="0.35">
      <c r="A71" s="294">
        <v>12</v>
      </c>
      <c r="B71" s="307" t="s">
        <v>847</v>
      </c>
      <c r="C71" s="337"/>
      <c r="D71" s="337"/>
      <c r="E71" s="337"/>
      <c r="F71" s="337"/>
      <c r="G71" s="338"/>
      <c r="H71" s="415">
        <f>H65+H67+H69</f>
        <v>216998</v>
      </c>
      <c r="I71" s="415">
        <f>I65+I67+I69</f>
        <v>240087</v>
      </c>
      <c r="J71" s="420">
        <f>J65+J67+J69</f>
        <v>240087</v>
      </c>
      <c r="K71" s="45">
        <f>H71-I71</f>
        <v>-23089</v>
      </c>
      <c r="L71" s="45">
        <f>IF(AND(OR(H71=0,I71&lt;&gt;0),OR(I71=0,H71&lt;&gt;0)),IF((H71+I71+K71&lt;&gt;0),IF(AND(OR(H71&gt;0,I71&lt;0),OR(I71&gt;0,H71&lt;0)),ABS(K71/MIN(ABS(I71),ABS(H71))),10),"-"),10)</f>
        <v>0.10640190232168038</v>
      </c>
      <c r="M71" s="45"/>
      <c r="N71" s="25"/>
      <c r="O71" s="25"/>
      <c r="P71" s="25"/>
      <c r="Q71" s="25"/>
      <c r="R71" s="25"/>
      <c r="S71" s="25"/>
      <c r="T71" s="25"/>
      <c r="U71" s="25"/>
      <c r="V71" s="25"/>
      <c r="W71" s="25"/>
      <c r="X71" s="25"/>
    </row>
  </sheetData>
  <sheetProtection algorithmName="SHA-512" hashValue="52w1LCmIGpoQK7eMz7iZWf45dO7ND8wQLjyD18Mqj4OSEzNr5TdaxR8vl8Hk5xp4I94bWVdzeeSvotplny7rvw==" saltValue="LxwVVU4SKlr0GJ04YktrVQ==" spinCount="100000" sheet="1" objects="1"/>
  <mergeCells count="2">
    <mergeCell ref="B1:C1"/>
    <mergeCell ref="B2:C2"/>
  </mergeCells>
  <conditionalFormatting sqref="I6">
    <cfRule type="expression" dxfId="22" priority="1">
      <formula>I6&lt;&gt;J6</formula>
    </cfRule>
  </conditionalFormatting>
  <conditionalFormatting sqref="I9:I22">
    <cfRule type="expression" dxfId="21" priority="2">
      <formula>I9&lt;&gt;J9</formula>
    </cfRule>
  </conditionalFormatting>
  <conditionalFormatting sqref="I25:I30">
    <cfRule type="expression" dxfId="20" priority="3">
      <formula>I25&lt;&gt;J25</formula>
    </cfRule>
  </conditionalFormatting>
  <conditionalFormatting sqref="I39:I48">
    <cfRule type="expression" dxfId="19" priority="4">
      <formula>I39&lt;&gt;J39</formula>
    </cfRule>
  </conditionalFormatting>
  <conditionalFormatting sqref="I53:I55">
    <cfRule type="expression" dxfId="18" priority="5">
      <formula>I53&lt;&gt;J53</formula>
    </cfRule>
  </conditionalFormatting>
  <conditionalFormatting sqref="I57:I60">
    <cfRule type="expression" dxfId="17" priority="6">
      <formula>I57&lt;&gt;J57</formula>
    </cfRule>
  </conditionalFormatting>
  <conditionalFormatting sqref="I62">
    <cfRule type="expression" dxfId="16" priority="7">
      <formula>I62&lt;&gt;J62</formula>
    </cfRule>
  </conditionalFormatting>
  <conditionalFormatting sqref="I67">
    <cfRule type="expression" dxfId="15" priority="8">
      <formula>I67&lt;&gt;J67</formula>
    </cfRule>
  </conditionalFormatting>
  <dataValidations count="9">
    <dataValidation type="textLength" allowBlank="1" showInputMessage="1" showErrorMessage="1" errorTitle="Maximum 255 text characters" error="Only text up to 255 characters is allowed here." promptTitle="Maximum 255 text characters" prompt=" " sqref="N22:T22 N49:U49" xr:uid="{00000000-0002-0000-0700-000000000000}">
      <formula1>0</formula1>
      <formula2>255</formula2>
    </dataValidation>
    <dataValidation type="whole" operator="greaterThan" allowBlank="1" showInputMessage="1" showErrorMessage="1" errorTitle="Whole numbers only allowed" error="All monies should be independently rounded to the nearest £1,000." promptTitle="If a value is entered here..." prompt="Please complete the text box to the right (cell N22)." sqref="J22 J34" xr:uid="{00000000-0002-0000-0700-000001000000}">
      <formula1>-999999999</formula1>
    </dataValidation>
    <dataValidation type="whole" operator="greaterThan" allowBlank="1" showInputMessage="1" showErrorMessage="1" errorTitle="Whole numbers only allowed" error="All monies should be independently rounded to the nearest £1,000." sqref="I6 H9:I12 J10:J12 I13:I21 H14:H19 J14:J19 I25:J30 H26 H28:H30 H34:I34 H39:J48 I49:J49 H53:J54 H55:I61 J57:J62 I62 I67:J67" xr:uid="{00000000-0002-0000-0700-000002000000}">
      <formula1>-99999999</formula1>
    </dataValidation>
    <dataValidation type="whole" operator="lessThanOrEqual" allowBlank="1" showInputMessage="1" showErrorMessage="1" errorTitle="Negatives Numbers" error="All entered monies should be returned as negative and rounded to the nearest £1,000" promptTitle="If a value is entered here..." prompt="it must be a negative value" sqref="H25" xr:uid="{00000000-0002-0000-0700-000003000000}">
      <formula1>0</formula1>
    </dataValidation>
    <dataValidation type="whole" operator="greaterThan" allowBlank="1" showInputMessage="1" showErrorMessage="1" errorTitle="Whole numbers only allowed" error="All monies should be independently rounded to the nearest £1,000." sqref="H27" xr:uid="{00000000-0002-0000-0700-000004000000}">
      <formula1>-999999999</formula1>
    </dataValidation>
    <dataValidation type="whole" operator="greaterThan" allowBlank="1" showInputMessage="1" showErrorMessage="1" errorTitle="Whole numbers only allowed" error="All monies should be independently rounded to the nearest £1,000." promptTitle="If a value is entered here..." prompt="Please complete the text box to right (cell N62)" sqref="H62" xr:uid="{00000000-0002-0000-0700-000005000000}">
      <formula1>-99999999</formula1>
    </dataValidation>
    <dataValidation type="textLength" operator="lessThan" allowBlank="1" showInputMessage="1" showErrorMessage="1" errorTitle="Maximum 255 text characters" error="Only text up to 255 characters is allowed here." promptTitle="Maximum 255 text characters" prompt=" " sqref="N62:T62" xr:uid="{00000000-0002-0000-0700-000006000000}">
      <formula1>255</formula1>
    </dataValidation>
    <dataValidation type="whole" operator="greaterThan" allowBlank="1" showInputMessage="1" showErrorMessage="1" errorTitle="Whole numbers only allowed" error="All monies should be independently rounded to the nearest £1,000." promptTitle="If a value is entered here..." prompt="Please complete the text box to the right (cell N49)" sqref="H49" xr:uid="{00000000-0002-0000-0700-000007000000}">
      <formula1>-99999999</formula1>
    </dataValidation>
    <dataValidation type="whole" operator="greaterThan" allowBlank="1" showInputMessage="1" showErrorMessage="1" errorTitle="Whole numbers only allowed" error="All monies should be independently rounded to the nearest £1,000." promptTitle="If a value is entered here..." prompt="Please complete the text box to the right (cell N22)" sqref="H22" xr:uid="{00000000-0002-0000-0700-000008000000}">
      <formula1>-999999999</formula1>
    </dataValidation>
  </dataValidations>
  <printOptions headings="1" gridLines="1"/>
  <pageMargins left="0.31496062992125984" right="0.31496062992125984"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F65"/>
  <sheetViews>
    <sheetView zoomScale="80" zoomScaleNormal="80" workbookViewId="0">
      <pane xSplit="7" ySplit="4" topLeftCell="H32" activePane="bottomRight" state="frozenSplit"/>
      <selection activeCell="P23" sqref="P23 P23:Q23"/>
      <selection pane="topRight"/>
      <selection pane="bottomLeft"/>
      <selection pane="bottomRight" activeCell="P57" sqref="P57"/>
    </sheetView>
  </sheetViews>
  <sheetFormatPr defaultColWidth="9.1796875" defaultRowHeight="12.5" x14ac:dyDescent="0.25"/>
  <cols>
    <col min="1" max="1" width="10.1796875" style="84" bestFit="1" customWidth="1"/>
    <col min="2" max="2" width="2.1796875" style="27" customWidth="1"/>
    <col min="3" max="3" width="53.81640625" style="27" customWidth="1"/>
    <col min="4" max="7" width="3.1796875" style="27" hidden="1" customWidth="1"/>
    <col min="8" max="8" width="16.81640625" style="27" customWidth="1"/>
    <col min="9" max="16" width="14.453125" style="27" customWidth="1"/>
    <col min="17" max="19" width="16.81640625" style="27" customWidth="1"/>
    <col min="20" max="21" width="19.453125" style="27" customWidth="1"/>
    <col min="22" max="31" width="16.81640625" style="27" customWidth="1"/>
    <col min="32" max="32" width="9.1796875" style="27" customWidth="1"/>
    <col min="33" max="16384" width="9.1796875" style="27"/>
  </cols>
  <sheetData>
    <row r="1" spans="1:32" customFormat="1" ht="44.25" customHeight="1" x14ac:dyDescent="0.35">
      <c r="A1" s="421" t="s">
        <v>848</v>
      </c>
      <c r="B1" s="681" t="s">
        <v>849</v>
      </c>
      <c r="C1" s="681"/>
      <c r="D1" s="422"/>
      <c r="E1" s="422"/>
      <c r="F1" s="422"/>
      <c r="G1" s="422"/>
      <c r="H1" s="682" t="s">
        <v>135</v>
      </c>
      <c r="I1" s="683"/>
      <c r="J1" s="683"/>
      <c r="K1" s="683"/>
      <c r="L1" s="683"/>
      <c r="M1" s="683"/>
      <c r="N1" s="683"/>
      <c r="O1" s="683"/>
      <c r="P1" s="683"/>
      <c r="Q1" s="684"/>
      <c r="R1" s="423">
        <v>2</v>
      </c>
      <c r="S1" s="423">
        <v>3</v>
      </c>
      <c r="T1" s="423">
        <v>4</v>
      </c>
      <c r="U1" s="423">
        <v>5</v>
      </c>
      <c r="V1" s="423">
        <v>6</v>
      </c>
      <c r="W1" s="423">
        <v>7</v>
      </c>
      <c r="X1" s="423">
        <v>8</v>
      </c>
      <c r="Y1" s="423">
        <v>9</v>
      </c>
      <c r="Z1" s="423">
        <v>10</v>
      </c>
      <c r="AA1" s="423">
        <v>11</v>
      </c>
      <c r="AB1" s="423">
        <v>12</v>
      </c>
      <c r="AC1" s="423">
        <v>13</v>
      </c>
      <c r="AD1" s="423">
        <v>14</v>
      </c>
      <c r="AE1" s="423">
        <v>15</v>
      </c>
      <c r="AF1" s="25"/>
    </row>
    <row r="2" spans="1:32" customFormat="1" ht="15" customHeight="1" x14ac:dyDescent="0.35">
      <c r="A2" s="424"/>
      <c r="B2" s="425"/>
      <c r="C2" s="425"/>
      <c r="D2" s="425"/>
      <c r="E2" s="425"/>
      <c r="F2" s="425"/>
      <c r="G2" s="426"/>
      <c r="H2" s="427" t="s">
        <v>613</v>
      </c>
      <c r="I2" s="427" t="s">
        <v>615</v>
      </c>
      <c r="J2" s="427" t="s">
        <v>617</v>
      </c>
      <c r="K2" s="427" t="s">
        <v>619</v>
      </c>
      <c r="L2" s="427" t="s">
        <v>621</v>
      </c>
      <c r="M2" s="427" t="s">
        <v>623</v>
      </c>
      <c r="N2" s="427" t="s">
        <v>625</v>
      </c>
      <c r="O2" s="427" t="s">
        <v>689</v>
      </c>
      <c r="P2" s="427" t="s">
        <v>691</v>
      </c>
      <c r="Q2" s="427" t="s">
        <v>693</v>
      </c>
      <c r="R2" s="428"/>
      <c r="S2" s="428"/>
      <c r="T2" s="428"/>
      <c r="U2" s="428"/>
      <c r="V2" s="428"/>
      <c r="W2" s="428"/>
      <c r="X2" s="428"/>
      <c r="Y2" s="428"/>
      <c r="Z2" s="428"/>
      <c r="AA2" s="428"/>
      <c r="AB2" s="428"/>
      <c r="AC2" s="428"/>
      <c r="AD2" s="428"/>
      <c r="AE2" s="428"/>
      <c r="AF2" s="25"/>
    </row>
    <row r="3" spans="1:32" customFormat="1" ht="94.4" customHeight="1" x14ac:dyDescent="0.35">
      <c r="A3" s="424"/>
      <c r="B3" s="425"/>
      <c r="C3" s="425"/>
      <c r="D3" s="425"/>
      <c r="E3" s="425"/>
      <c r="F3" s="425"/>
      <c r="G3" s="426"/>
      <c r="H3" s="429" t="s">
        <v>850</v>
      </c>
      <c r="I3" s="429" t="s">
        <v>851</v>
      </c>
      <c r="J3" s="429" t="s">
        <v>852</v>
      </c>
      <c r="K3" s="429" t="s">
        <v>853</v>
      </c>
      <c r="L3" s="429" t="s">
        <v>854</v>
      </c>
      <c r="M3" s="429" t="s">
        <v>855</v>
      </c>
      <c r="N3" s="429" t="s">
        <v>856</v>
      </c>
      <c r="O3" s="429" t="s">
        <v>857</v>
      </c>
      <c r="P3" s="429" t="s">
        <v>110</v>
      </c>
      <c r="Q3" s="430" t="s">
        <v>858</v>
      </c>
      <c r="R3" s="431" t="s">
        <v>859</v>
      </c>
      <c r="S3" s="431" t="s">
        <v>860</v>
      </c>
      <c r="T3" s="431" t="s">
        <v>861</v>
      </c>
      <c r="U3" s="431" t="s">
        <v>862</v>
      </c>
      <c r="V3" s="431" t="s">
        <v>863</v>
      </c>
      <c r="W3" s="431" t="s">
        <v>864</v>
      </c>
      <c r="X3" s="431" t="s">
        <v>865</v>
      </c>
      <c r="Y3" s="431" t="s">
        <v>866</v>
      </c>
      <c r="Z3" s="431" t="s">
        <v>867</v>
      </c>
      <c r="AA3" s="431" t="s">
        <v>127</v>
      </c>
      <c r="AB3" s="431" t="s">
        <v>129</v>
      </c>
      <c r="AC3" s="431" t="s">
        <v>131</v>
      </c>
      <c r="AD3" s="431" t="s">
        <v>133</v>
      </c>
      <c r="AE3" s="431" t="s">
        <v>669</v>
      </c>
      <c r="AF3" s="25"/>
    </row>
    <row r="4" spans="1:32" s="105" customFormat="1" ht="15" customHeight="1" x14ac:dyDescent="0.35">
      <c r="A4" s="424"/>
      <c r="B4" s="353"/>
      <c r="C4" s="353"/>
      <c r="D4" s="353"/>
      <c r="E4" s="353"/>
      <c r="F4" s="353"/>
      <c r="G4" s="354"/>
      <c r="H4" s="432" t="s">
        <v>607</v>
      </c>
      <c r="I4" s="432" t="s">
        <v>607</v>
      </c>
      <c r="J4" s="432" t="s">
        <v>607</v>
      </c>
      <c r="K4" s="432" t="s">
        <v>607</v>
      </c>
      <c r="L4" s="432" t="s">
        <v>607</v>
      </c>
      <c r="M4" s="432" t="s">
        <v>607</v>
      </c>
      <c r="N4" s="432" t="s">
        <v>607</v>
      </c>
      <c r="O4" s="432" t="s">
        <v>607</v>
      </c>
      <c r="P4" s="432" t="s">
        <v>607</v>
      </c>
      <c r="Q4" s="432" t="s">
        <v>607</v>
      </c>
      <c r="R4" s="432" t="s">
        <v>607</v>
      </c>
      <c r="S4" s="432" t="s">
        <v>607</v>
      </c>
      <c r="T4" s="432" t="s">
        <v>607</v>
      </c>
      <c r="U4" s="432" t="s">
        <v>607</v>
      </c>
      <c r="V4" s="432" t="s">
        <v>607</v>
      </c>
      <c r="W4" s="432" t="s">
        <v>607</v>
      </c>
      <c r="X4" s="432" t="s">
        <v>607</v>
      </c>
      <c r="Y4" s="432" t="s">
        <v>607</v>
      </c>
      <c r="Z4" s="432" t="s">
        <v>607</v>
      </c>
      <c r="AA4" s="432" t="s">
        <v>607</v>
      </c>
      <c r="AB4" s="432" t="s">
        <v>607</v>
      </c>
      <c r="AC4" s="432" t="s">
        <v>607</v>
      </c>
      <c r="AD4" s="432" t="s">
        <v>607</v>
      </c>
      <c r="AE4" s="432" t="s">
        <v>607</v>
      </c>
    </row>
    <row r="5" spans="1:32" customFormat="1" ht="12.75" customHeight="1" x14ac:dyDescent="0.35">
      <c r="A5" s="433">
        <v>1</v>
      </c>
      <c r="B5" s="434" t="s">
        <v>868</v>
      </c>
      <c r="C5" s="435"/>
      <c r="D5" s="435"/>
      <c r="E5" s="435"/>
      <c r="F5" s="435"/>
      <c r="G5" s="436"/>
      <c r="H5" s="298"/>
      <c r="I5" s="298"/>
      <c r="J5" s="298"/>
      <c r="K5" s="298"/>
      <c r="L5" s="298"/>
      <c r="M5" s="298"/>
      <c r="N5" s="298"/>
      <c r="O5" s="298"/>
      <c r="P5" s="298"/>
      <c r="Q5" s="298"/>
      <c r="R5" s="298"/>
      <c r="S5" s="298"/>
      <c r="T5" s="298"/>
      <c r="U5" s="298"/>
      <c r="V5" s="298"/>
      <c r="W5" s="298"/>
      <c r="X5" s="298"/>
      <c r="Y5" s="298"/>
      <c r="Z5" s="298"/>
      <c r="AA5" s="298"/>
      <c r="AB5" s="298"/>
      <c r="AC5" s="298"/>
      <c r="AD5" s="298"/>
      <c r="AE5" s="298"/>
      <c r="AF5" s="25"/>
    </row>
    <row r="6" spans="1:32" customFormat="1" ht="12.75" customHeight="1" x14ac:dyDescent="0.35">
      <c r="A6" s="433" t="s">
        <v>613</v>
      </c>
      <c r="B6" s="437"/>
      <c r="C6" s="438" t="s">
        <v>869</v>
      </c>
      <c r="D6" s="439"/>
      <c r="E6" s="439"/>
      <c r="F6" s="439"/>
      <c r="G6" s="440"/>
      <c r="H6" s="304">
        <v>1992</v>
      </c>
      <c r="I6" s="10">
        <v>31315</v>
      </c>
      <c r="J6" s="10">
        <v>153</v>
      </c>
      <c r="K6" s="10">
        <v>807</v>
      </c>
      <c r="L6" s="10">
        <v>2850</v>
      </c>
      <c r="M6" s="10">
        <v>11</v>
      </c>
      <c r="N6" s="10">
        <v>-57</v>
      </c>
      <c r="O6" s="10">
        <v>4688</v>
      </c>
      <c r="P6" s="10">
        <v>118</v>
      </c>
      <c r="Q6" s="415">
        <f t="shared" ref="Q6:Q50" si="0">SUM(H6:P6)</f>
        <v>41877</v>
      </c>
      <c r="R6" s="10">
        <v>43570</v>
      </c>
      <c r="S6" s="10">
        <v>978</v>
      </c>
      <c r="T6" s="10">
        <v>18034</v>
      </c>
      <c r="U6" s="10">
        <v>0</v>
      </c>
      <c r="V6" s="10">
        <v>5261</v>
      </c>
      <c r="W6" s="10">
        <v>-230</v>
      </c>
      <c r="X6" s="10">
        <v>1912</v>
      </c>
      <c r="Y6" s="10">
        <v>388</v>
      </c>
      <c r="Z6" s="10">
        <v>2917</v>
      </c>
      <c r="AA6" s="10">
        <v>319</v>
      </c>
      <c r="AB6" s="10">
        <v>4879</v>
      </c>
      <c r="AC6" s="10">
        <v>3648</v>
      </c>
      <c r="AD6" s="10">
        <v>1933</v>
      </c>
      <c r="AE6" s="415">
        <f t="shared" ref="AE6:AE50" si="1">SUM(Q6:AD6)</f>
        <v>125486</v>
      </c>
      <c r="AF6" s="25"/>
    </row>
    <row r="7" spans="1:32" customFormat="1" ht="12.75" customHeight="1" x14ac:dyDescent="0.35">
      <c r="A7" s="433" t="s">
        <v>615</v>
      </c>
      <c r="B7" s="437"/>
      <c r="C7" s="438" t="s">
        <v>870</v>
      </c>
      <c r="D7" s="439"/>
      <c r="E7" s="439"/>
      <c r="F7" s="439"/>
      <c r="G7" s="440"/>
      <c r="H7" s="10">
        <v>0</v>
      </c>
      <c r="I7" s="10">
        <v>0</v>
      </c>
      <c r="J7" s="10">
        <v>0</v>
      </c>
      <c r="K7" s="10">
        <v>0</v>
      </c>
      <c r="L7" s="10">
        <v>0</v>
      </c>
      <c r="M7" s="10">
        <v>0</v>
      </c>
      <c r="N7" s="10">
        <v>0</v>
      </c>
      <c r="O7" s="10">
        <v>0</v>
      </c>
      <c r="P7" s="10">
        <v>0</v>
      </c>
      <c r="Q7" s="415">
        <f t="shared" si="0"/>
        <v>0</v>
      </c>
      <c r="R7" s="10">
        <v>0</v>
      </c>
      <c r="S7" s="10">
        <v>0</v>
      </c>
      <c r="T7" s="10">
        <v>0</v>
      </c>
      <c r="U7" s="10">
        <v>0</v>
      </c>
      <c r="V7" s="10">
        <v>0</v>
      </c>
      <c r="W7" s="10">
        <v>0</v>
      </c>
      <c r="X7" s="10">
        <v>0</v>
      </c>
      <c r="Y7" s="10">
        <v>0</v>
      </c>
      <c r="Z7" s="10">
        <v>0</v>
      </c>
      <c r="AA7" s="10">
        <v>0</v>
      </c>
      <c r="AB7" s="10">
        <v>0</v>
      </c>
      <c r="AC7" s="10">
        <v>0</v>
      </c>
      <c r="AD7" s="10">
        <v>0</v>
      </c>
      <c r="AE7" s="415">
        <f t="shared" si="1"/>
        <v>0</v>
      </c>
      <c r="AF7" s="25"/>
    </row>
    <row r="8" spans="1:32" customFormat="1" ht="12.75" customHeight="1" x14ac:dyDescent="0.35">
      <c r="A8" s="433" t="s">
        <v>617</v>
      </c>
      <c r="B8" s="437"/>
      <c r="C8" s="438" t="s">
        <v>871</v>
      </c>
      <c r="D8" s="439"/>
      <c r="E8" s="439"/>
      <c r="F8" s="439"/>
      <c r="G8" s="440"/>
      <c r="H8" s="10">
        <v>0</v>
      </c>
      <c r="I8" s="10">
        <v>626</v>
      </c>
      <c r="J8" s="10">
        <v>0</v>
      </c>
      <c r="K8" s="10">
        <v>0</v>
      </c>
      <c r="L8" s="10">
        <v>417</v>
      </c>
      <c r="M8" s="10">
        <v>98</v>
      </c>
      <c r="N8" s="10">
        <v>0</v>
      </c>
      <c r="O8" s="10">
        <v>73</v>
      </c>
      <c r="P8" s="10">
        <v>0</v>
      </c>
      <c r="Q8" s="415">
        <f t="shared" si="0"/>
        <v>1214</v>
      </c>
      <c r="R8" s="10">
        <v>203</v>
      </c>
      <c r="S8" s="10">
        <v>0</v>
      </c>
      <c r="T8" s="10">
        <v>449</v>
      </c>
      <c r="U8" s="10">
        <v>0</v>
      </c>
      <c r="V8" s="10">
        <v>80</v>
      </c>
      <c r="W8" s="10">
        <v>-9</v>
      </c>
      <c r="X8" s="10">
        <v>10</v>
      </c>
      <c r="Y8" s="10">
        <v>0</v>
      </c>
      <c r="Z8" s="10">
        <v>0</v>
      </c>
      <c r="AA8" s="10">
        <v>41</v>
      </c>
      <c r="AB8" s="10">
        <v>7</v>
      </c>
      <c r="AC8" s="10">
        <v>0</v>
      </c>
      <c r="AD8" s="10">
        <v>6</v>
      </c>
      <c r="AE8" s="415">
        <f t="shared" si="1"/>
        <v>2001</v>
      </c>
      <c r="AF8" s="25"/>
    </row>
    <row r="9" spans="1:32" customFormat="1" ht="12.75" customHeight="1" x14ac:dyDescent="0.35">
      <c r="A9" s="433" t="s">
        <v>619</v>
      </c>
      <c r="B9" s="437"/>
      <c r="C9" s="438" t="s">
        <v>872</v>
      </c>
      <c r="D9" s="439"/>
      <c r="E9" s="439"/>
      <c r="F9" s="439"/>
      <c r="G9" s="440"/>
      <c r="H9" s="10">
        <v>0</v>
      </c>
      <c r="I9" s="10">
        <v>647</v>
      </c>
      <c r="J9" s="10">
        <v>0</v>
      </c>
      <c r="K9" s="10">
        <v>0</v>
      </c>
      <c r="L9" s="10">
        <v>34</v>
      </c>
      <c r="M9" s="10">
        <v>573</v>
      </c>
      <c r="N9" s="10">
        <v>0</v>
      </c>
      <c r="O9" s="10">
        <v>59</v>
      </c>
      <c r="P9" s="10">
        <v>6</v>
      </c>
      <c r="Q9" s="415">
        <f t="shared" si="0"/>
        <v>1319</v>
      </c>
      <c r="R9" s="10">
        <v>829</v>
      </c>
      <c r="S9" s="10">
        <v>5</v>
      </c>
      <c r="T9" s="10">
        <v>528</v>
      </c>
      <c r="U9" s="10">
        <v>0</v>
      </c>
      <c r="V9" s="10">
        <v>282</v>
      </c>
      <c r="W9" s="10">
        <v>0</v>
      </c>
      <c r="X9" s="10">
        <v>46</v>
      </c>
      <c r="Y9" s="10">
        <v>0</v>
      </c>
      <c r="Z9" s="10">
        <v>0</v>
      </c>
      <c r="AA9" s="10">
        <v>0</v>
      </c>
      <c r="AB9" s="10">
        <v>0</v>
      </c>
      <c r="AC9" s="10">
        <v>0</v>
      </c>
      <c r="AD9" s="10">
        <v>40</v>
      </c>
      <c r="AE9" s="415">
        <f t="shared" si="1"/>
        <v>3049</v>
      </c>
      <c r="AF9" s="25"/>
    </row>
    <row r="10" spans="1:32" customFormat="1" ht="12.75" customHeight="1" x14ac:dyDescent="0.35">
      <c r="A10" s="433" t="s">
        <v>621</v>
      </c>
      <c r="B10" s="437"/>
      <c r="C10" s="438" t="s">
        <v>873</v>
      </c>
      <c r="D10" s="439"/>
      <c r="E10" s="439"/>
      <c r="F10" s="439"/>
      <c r="G10" s="440"/>
      <c r="H10" s="10">
        <v>0</v>
      </c>
      <c r="I10" s="10">
        <v>0</v>
      </c>
      <c r="J10" s="10">
        <v>0</v>
      </c>
      <c r="K10" s="10">
        <v>0</v>
      </c>
      <c r="L10" s="10">
        <v>0</v>
      </c>
      <c r="M10" s="10">
        <v>0</v>
      </c>
      <c r="N10" s="10">
        <v>0</v>
      </c>
      <c r="O10" s="10">
        <v>0</v>
      </c>
      <c r="P10" s="10">
        <v>0</v>
      </c>
      <c r="Q10" s="415">
        <f t="shared" si="0"/>
        <v>0</v>
      </c>
      <c r="R10" s="10">
        <v>0</v>
      </c>
      <c r="S10" s="10">
        <v>0</v>
      </c>
      <c r="T10" s="10">
        <v>0</v>
      </c>
      <c r="U10" s="10">
        <v>0</v>
      </c>
      <c r="V10" s="10">
        <v>0</v>
      </c>
      <c r="W10" s="10">
        <v>0</v>
      </c>
      <c r="X10" s="10">
        <v>0</v>
      </c>
      <c r="Y10" s="10">
        <v>0</v>
      </c>
      <c r="Z10" s="10">
        <v>0</v>
      </c>
      <c r="AA10" s="10">
        <v>0</v>
      </c>
      <c r="AB10" s="10">
        <v>0</v>
      </c>
      <c r="AC10" s="10">
        <v>0</v>
      </c>
      <c r="AD10" s="10">
        <v>0</v>
      </c>
      <c r="AE10" s="415">
        <f t="shared" si="1"/>
        <v>0</v>
      </c>
      <c r="AF10" s="25"/>
    </row>
    <row r="11" spans="1:32" customFormat="1" ht="12.75" customHeight="1" x14ac:dyDescent="0.35">
      <c r="A11" s="433" t="s">
        <v>623</v>
      </c>
      <c r="B11" s="437"/>
      <c r="C11" s="438" t="s">
        <v>874</v>
      </c>
      <c r="D11" s="439"/>
      <c r="E11" s="439"/>
      <c r="F11" s="439"/>
      <c r="G11" s="440"/>
      <c r="H11" s="10">
        <v>0</v>
      </c>
      <c r="I11" s="10">
        <v>0</v>
      </c>
      <c r="J11" s="10">
        <v>0</v>
      </c>
      <c r="K11" s="10">
        <v>0</v>
      </c>
      <c r="L11" s="10">
        <v>0</v>
      </c>
      <c r="M11" s="10">
        <v>0</v>
      </c>
      <c r="N11" s="10">
        <v>0</v>
      </c>
      <c r="O11" s="10">
        <v>0</v>
      </c>
      <c r="P11" s="10">
        <v>0</v>
      </c>
      <c r="Q11" s="415">
        <f t="shared" si="0"/>
        <v>0</v>
      </c>
      <c r="R11" s="10">
        <v>0</v>
      </c>
      <c r="S11" s="10">
        <v>0</v>
      </c>
      <c r="T11" s="10">
        <v>0</v>
      </c>
      <c r="U11" s="10">
        <v>0</v>
      </c>
      <c r="V11" s="10">
        <v>0</v>
      </c>
      <c r="W11" s="10">
        <v>0</v>
      </c>
      <c r="X11" s="10">
        <v>0</v>
      </c>
      <c r="Y11" s="10">
        <v>0</v>
      </c>
      <c r="Z11" s="10">
        <v>0</v>
      </c>
      <c r="AA11" s="10">
        <v>0</v>
      </c>
      <c r="AB11" s="10">
        <v>0</v>
      </c>
      <c r="AC11" s="10">
        <v>0</v>
      </c>
      <c r="AD11" s="10">
        <v>0</v>
      </c>
      <c r="AE11" s="415">
        <f t="shared" si="1"/>
        <v>0</v>
      </c>
      <c r="AF11" s="25"/>
    </row>
    <row r="12" spans="1:32" customFormat="1" ht="12.75" customHeight="1" x14ac:dyDescent="0.35">
      <c r="A12" s="433" t="s">
        <v>625</v>
      </c>
      <c r="B12" s="437"/>
      <c r="C12" s="438" t="s">
        <v>875</v>
      </c>
      <c r="D12" s="439"/>
      <c r="E12" s="439"/>
      <c r="F12" s="439"/>
      <c r="G12" s="440"/>
      <c r="H12" s="10">
        <v>0</v>
      </c>
      <c r="I12" s="10">
        <v>0</v>
      </c>
      <c r="J12" s="10">
        <v>0</v>
      </c>
      <c r="K12" s="10">
        <v>0</v>
      </c>
      <c r="L12" s="10">
        <v>0</v>
      </c>
      <c r="M12" s="10">
        <v>0</v>
      </c>
      <c r="N12" s="10">
        <v>0</v>
      </c>
      <c r="O12" s="10">
        <v>0</v>
      </c>
      <c r="P12" s="10">
        <v>0</v>
      </c>
      <c r="Q12" s="415">
        <f t="shared" si="0"/>
        <v>0</v>
      </c>
      <c r="R12" s="10">
        <v>0</v>
      </c>
      <c r="S12" s="10">
        <v>0</v>
      </c>
      <c r="T12" s="10">
        <v>0</v>
      </c>
      <c r="U12" s="10">
        <v>0</v>
      </c>
      <c r="V12" s="10">
        <v>0</v>
      </c>
      <c r="W12" s="10">
        <v>0</v>
      </c>
      <c r="X12" s="10">
        <v>0</v>
      </c>
      <c r="Y12" s="10">
        <v>0</v>
      </c>
      <c r="Z12" s="10">
        <v>0</v>
      </c>
      <c r="AA12" s="10">
        <v>0</v>
      </c>
      <c r="AB12" s="10">
        <v>0</v>
      </c>
      <c r="AC12" s="10">
        <v>0</v>
      </c>
      <c r="AD12" s="10">
        <v>0</v>
      </c>
      <c r="AE12" s="415">
        <f t="shared" si="1"/>
        <v>0</v>
      </c>
      <c r="AF12" s="25"/>
    </row>
    <row r="13" spans="1:32" customFormat="1" ht="12.75" customHeight="1" x14ac:dyDescent="0.35">
      <c r="A13" s="433" t="s">
        <v>689</v>
      </c>
      <c r="B13" s="437"/>
      <c r="C13" s="438" t="s">
        <v>876</v>
      </c>
      <c r="D13" s="439"/>
      <c r="E13" s="439"/>
      <c r="F13" s="439"/>
      <c r="G13" s="440"/>
      <c r="H13" s="10">
        <v>0</v>
      </c>
      <c r="I13" s="10">
        <v>0</v>
      </c>
      <c r="J13" s="10">
        <v>0</v>
      </c>
      <c r="K13" s="10">
        <v>0</v>
      </c>
      <c r="L13" s="10">
        <v>0</v>
      </c>
      <c r="M13" s="10">
        <v>0</v>
      </c>
      <c r="N13" s="10">
        <v>0</v>
      </c>
      <c r="O13" s="10">
        <v>0</v>
      </c>
      <c r="P13" s="10">
        <v>0</v>
      </c>
      <c r="Q13" s="415">
        <f t="shared" si="0"/>
        <v>0</v>
      </c>
      <c r="R13" s="10">
        <v>0</v>
      </c>
      <c r="S13" s="10">
        <v>0</v>
      </c>
      <c r="T13" s="10">
        <v>0</v>
      </c>
      <c r="U13" s="10">
        <v>0</v>
      </c>
      <c r="V13" s="10">
        <v>0</v>
      </c>
      <c r="W13" s="10">
        <v>0</v>
      </c>
      <c r="X13" s="10">
        <v>0</v>
      </c>
      <c r="Y13" s="10">
        <v>0</v>
      </c>
      <c r="Z13" s="10">
        <v>0</v>
      </c>
      <c r="AA13" s="10">
        <v>0</v>
      </c>
      <c r="AB13" s="10">
        <v>0</v>
      </c>
      <c r="AC13" s="10">
        <v>0</v>
      </c>
      <c r="AD13" s="10">
        <v>0</v>
      </c>
      <c r="AE13" s="415">
        <f t="shared" si="1"/>
        <v>0</v>
      </c>
      <c r="AF13" s="25"/>
    </row>
    <row r="14" spans="1:32" customFormat="1" ht="12.75" customHeight="1" x14ac:dyDescent="0.35">
      <c r="A14" s="433" t="s">
        <v>691</v>
      </c>
      <c r="B14" s="437"/>
      <c r="C14" s="438" t="s">
        <v>877</v>
      </c>
      <c r="D14" s="439"/>
      <c r="E14" s="439"/>
      <c r="F14" s="439"/>
      <c r="G14" s="440"/>
      <c r="H14" s="10">
        <v>11828</v>
      </c>
      <c r="I14" s="10">
        <v>2263</v>
      </c>
      <c r="J14" s="10">
        <v>105</v>
      </c>
      <c r="K14" s="10">
        <v>176</v>
      </c>
      <c r="L14" s="10">
        <v>-27</v>
      </c>
      <c r="M14" s="10">
        <v>-26</v>
      </c>
      <c r="N14" s="10">
        <v>0</v>
      </c>
      <c r="O14" s="10">
        <v>502</v>
      </c>
      <c r="P14" s="10">
        <v>133</v>
      </c>
      <c r="Q14" s="415">
        <f t="shared" si="0"/>
        <v>14954</v>
      </c>
      <c r="R14" s="10">
        <v>3480</v>
      </c>
      <c r="S14" s="10">
        <v>48</v>
      </c>
      <c r="T14" s="10">
        <v>1771</v>
      </c>
      <c r="U14" s="10">
        <v>0</v>
      </c>
      <c r="V14" s="10">
        <v>787</v>
      </c>
      <c r="W14" s="10">
        <v>-1186</v>
      </c>
      <c r="X14" s="10">
        <v>188</v>
      </c>
      <c r="Y14" s="10">
        <v>26</v>
      </c>
      <c r="Z14" s="10">
        <v>274</v>
      </c>
      <c r="AA14" s="10">
        <v>125</v>
      </c>
      <c r="AB14" s="10">
        <v>6737</v>
      </c>
      <c r="AC14" s="10">
        <v>2266</v>
      </c>
      <c r="AD14" s="10">
        <v>967</v>
      </c>
      <c r="AE14" s="415">
        <f t="shared" si="1"/>
        <v>30437</v>
      </c>
      <c r="AF14" s="25"/>
    </row>
    <row r="15" spans="1:32" customFormat="1" ht="12.75" customHeight="1" x14ac:dyDescent="0.35">
      <c r="A15" s="433" t="s">
        <v>693</v>
      </c>
      <c r="B15" s="437"/>
      <c r="C15" s="438" t="s">
        <v>878</v>
      </c>
      <c r="D15" s="439"/>
      <c r="E15" s="439"/>
      <c r="F15" s="439"/>
      <c r="G15" s="440"/>
      <c r="H15" s="10">
        <v>0</v>
      </c>
      <c r="I15" s="10">
        <v>0</v>
      </c>
      <c r="J15" s="10">
        <v>0</v>
      </c>
      <c r="K15" s="10">
        <v>0</v>
      </c>
      <c r="L15" s="10">
        <v>0</v>
      </c>
      <c r="M15" s="10">
        <v>0</v>
      </c>
      <c r="N15" s="10">
        <v>0</v>
      </c>
      <c r="O15" s="10">
        <v>0</v>
      </c>
      <c r="P15" s="10">
        <v>0</v>
      </c>
      <c r="Q15" s="415">
        <f t="shared" si="0"/>
        <v>0</v>
      </c>
      <c r="R15" s="10">
        <v>0</v>
      </c>
      <c r="S15" s="10">
        <v>0</v>
      </c>
      <c r="T15" s="10">
        <v>0</v>
      </c>
      <c r="U15" s="10">
        <v>0</v>
      </c>
      <c r="V15" s="10">
        <v>0</v>
      </c>
      <c r="W15" s="10">
        <v>0</v>
      </c>
      <c r="X15" s="10">
        <v>0</v>
      </c>
      <c r="Y15" s="10">
        <v>0</v>
      </c>
      <c r="Z15" s="10">
        <v>0</v>
      </c>
      <c r="AA15" s="10">
        <v>0</v>
      </c>
      <c r="AB15" s="10">
        <v>0</v>
      </c>
      <c r="AC15" s="10">
        <v>0</v>
      </c>
      <c r="AD15" s="10">
        <v>0</v>
      </c>
      <c r="AE15" s="415">
        <f t="shared" si="1"/>
        <v>0</v>
      </c>
      <c r="AF15" s="25"/>
    </row>
    <row r="16" spans="1:32" customFormat="1" ht="12.75" customHeight="1" x14ac:dyDescent="0.35">
      <c r="A16" s="433" t="s">
        <v>695</v>
      </c>
      <c r="B16" s="437"/>
      <c r="C16" s="438" t="s">
        <v>879</v>
      </c>
      <c r="D16" s="439"/>
      <c r="E16" s="439"/>
      <c r="F16" s="439"/>
      <c r="G16" s="440"/>
      <c r="H16" s="10">
        <v>-253</v>
      </c>
      <c r="I16" s="10">
        <v>66</v>
      </c>
      <c r="J16" s="10">
        <v>7006</v>
      </c>
      <c r="K16" s="10">
        <v>84</v>
      </c>
      <c r="L16" s="10">
        <v>3092</v>
      </c>
      <c r="M16" s="10">
        <v>126</v>
      </c>
      <c r="N16" s="10">
        <v>532</v>
      </c>
      <c r="O16" s="10">
        <v>1234</v>
      </c>
      <c r="P16" s="10">
        <v>103</v>
      </c>
      <c r="Q16" s="415">
        <f t="shared" si="0"/>
        <v>11990</v>
      </c>
      <c r="R16" s="10">
        <v>605</v>
      </c>
      <c r="S16" s="10">
        <v>3</v>
      </c>
      <c r="T16" s="10">
        <v>3452</v>
      </c>
      <c r="U16" s="10">
        <v>0</v>
      </c>
      <c r="V16" s="10">
        <v>403</v>
      </c>
      <c r="W16" s="10">
        <v>1627</v>
      </c>
      <c r="X16" s="10">
        <v>374</v>
      </c>
      <c r="Y16" s="10">
        <v>13</v>
      </c>
      <c r="Z16" s="10">
        <v>82</v>
      </c>
      <c r="AA16" s="10">
        <v>496</v>
      </c>
      <c r="AB16" s="10">
        <v>61</v>
      </c>
      <c r="AC16" s="10">
        <v>42</v>
      </c>
      <c r="AD16" s="10">
        <v>84</v>
      </c>
      <c r="AE16" s="415">
        <f t="shared" si="1"/>
        <v>19232</v>
      </c>
      <c r="AF16" s="25"/>
    </row>
    <row r="17" spans="1:32" customFormat="1" ht="12.75" customHeight="1" x14ac:dyDescent="0.35">
      <c r="A17" s="433" t="s">
        <v>880</v>
      </c>
      <c r="B17" s="437"/>
      <c r="C17" s="438" t="s">
        <v>881</v>
      </c>
      <c r="D17" s="439"/>
      <c r="E17" s="439"/>
      <c r="F17" s="439"/>
      <c r="G17" s="440"/>
      <c r="H17" s="10">
        <v>5119</v>
      </c>
      <c r="I17" s="10">
        <v>5401</v>
      </c>
      <c r="J17" s="10">
        <v>1779</v>
      </c>
      <c r="K17" s="10">
        <v>3563</v>
      </c>
      <c r="L17" s="10">
        <v>0</v>
      </c>
      <c r="M17" s="10">
        <v>0</v>
      </c>
      <c r="N17" s="10">
        <v>0</v>
      </c>
      <c r="O17" s="10">
        <v>2611</v>
      </c>
      <c r="P17" s="10">
        <v>1623</v>
      </c>
      <c r="Q17" s="415">
        <f t="shared" si="0"/>
        <v>20096</v>
      </c>
      <c r="R17" s="10">
        <v>24056</v>
      </c>
      <c r="S17" s="10">
        <v>83</v>
      </c>
      <c r="T17" s="10">
        <v>1016</v>
      </c>
      <c r="U17" s="10">
        <v>0</v>
      </c>
      <c r="V17" s="10">
        <v>1039</v>
      </c>
      <c r="W17" s="10">
        <v>169</v>
      </c>
      <c r="X17" s="10">
        <v>2193</v>
      </c>
      <c r="Y17" s="10">
        <v>0</v>
      </c>
      <c r="Z17" s="10">
        <v>187</v>
      </c>
      <c r="AA17" s="10">
        <v>338</v>
      </c>
      <c r="AB17" s="10">
        <v>1120</v>
      </c>
      <c r="AC17" s="10">
        <v>1536</v>
      </c>
      <c r="AD17" s="10">
        <v>4807</v>
      </c>
      <c r="AE17" s="415">
        <f t="shared" si="1"/>
        <v>56640</v>
      </c>
      <c r="AF17" s="25"/>
    </row>
    <row r="18" spans="1:32" customFormat="1" ht="12.75" customHeight="1" x14ac:dyDescent="0.35">
      <c r="A18" s="433" t="s">
        <v>882</v>
      </c>
      <c r="B18" s="437"/>
      <c r="C18" s="438" t="s">
        <v>883</v>
      </c>
      <c r="D18" s="439"/>
      <c r="E18" s="439"/>
      <c r="F18" s="439"/>
      <c r="G18" s="440"/>
      <c r="H18" s="10">
        <v>704</v>
      </c>
      <c r="I18" s="10">
        <v>316</v>
      </c>
      <c r="J18" s="10">
        <v>83</v>
      </c>
      <c r="K18" s="10">
        <v>2944</v>
      </c>
      <c r="L18" s="10">
        <v>0</v>
      </c>
      <c r="M18" s="10">
        <v>0</v>
      </c>
      <c r="N18" s="10">
        <v>47</v>
      </c>
      <c r="O18" s="10">
        <v>1136</v>
      </c>
      <c r="P18" s="10">
        <v>448</v>
      </c>
      <c r="Q18" s="415">
        <f t="shared" si="0"/>
        <v>5678</v>
      </c>
      <c r="R18" s="10">
        <v>873</v>
      </c>
      <c r="S18" s="10">
        <v>3</v>
      </c>
      <c r="T18" s="10">
        <v>1980</v>
      </c>
      <c r="U18" s="10">
        <v>0</v>
      </c>
      <c r="V18" s="10">
        <v>629</v>
      </c>
      <c r="W18" s="10">
        <v>-334</v>
      </c>
      <c r="X18" s="10">
        <v>0</v>
      </c>
      <c r="Y18" s="10">
        <v>0</v>
      </c>
      <c r="Z18" s="10">
        <v>111</v>
      </c>
      <c r="AA18" s="10">
        <v>11</v>
      </c>
      <c r="AB18" s="10">
        <v>0</v>
      </c>
      <c r="AC18" s="10">
        <v>145</v>
      </c>
      <c r="AD18" s="10">
        <v>167</v>
      </c>
      <c r="AE18" s="415">
        <f t="shared" si="1"/>
        <v>9263</v>
      </c>
      <c r="AF18" s="25"/>
    </row>
    <row r="19" spans="1:32" customFormat="1" ht="12.75" customHeight="1" x14ac:dyDescent="0.35">
      <c r="A19" s="433" t="s">
        <v>884</v>
      </c>
      <c r="B19" s="437"/>
      <c r="C19" s="438" t="s">
        <v>885</v>
      </c>
      <c r="D19" s="439"/>
      <c r="E19" s="439"/>
      <c r="F19" s="439"/>
      <c r="G19" s="440"/>
      <c r="H19" s="10">
        <v>552</v>
      </c>
      <c r="I19" s="10">
        <v>422</v>
      </c>
      <c r="J19" s="10">
        <v>5</v>
      </c>
      <c r="K19" s="10">
        <v>4028</v>
      </c>
      <c r="L19" s="10">
        <v>1749</v>
      </c>
      <c r="M19" s="10">
        <v>0</v>
      </c>
      <c r="N19" s="10">
        <v>15132</v>
      </c>
      <c r="O19" s="10">
        <v>5162</v>
      </c>
      <c r="P19" s="10">
        <v>2233</v>
      </c>
      <c r="Q19" s="415">
        <f t="shared" si="0"/>
        <v>29283</v>
      </c>
      <c r="R19" s="10">
        <v>735</v>
      </c>
      <c r="S19" s="10">
        <v>0</v>
      </c>
      <c r="T19" s="10">
        <v>700</v>
      </c>
      <c r="U19" s="10">
        <v>0</v>
      </c>
      <c r="V19" s="10">
        <v>103</v>
      </c>
      <c r="W19" s="10">
        <v>-1066</v>
      </c>
      <c r="X19" s="10">
        <v>1498</v>
      </c>
      <c r="Y19" s="10">
        <v>0</v>
      </c>
      <c r="Z19" s="10">
        <v>0</v>
      </c>
      <c r="AA19" s="10">
        <v>167</v>
      </c>
      <c r="AB19" s="10">
        <v>8</v>
      </c>
      <c r="AC19" s="10">
        <v>109</v>
      </c>
      <c r="AD19" s="10">
        <v>34</v>
      </c>
      <c r="AE19" s="415">
        <f t="shared" si="1"/>
        <v>31571</v>
      </c>
      <c r="AF19" s="25"/>
    </row>
    <row r="20" spans="1:32" customFormat="1" ht="12.75" customHeight="1" x14ac:dyDescent="0.35">
      <c r="A20" s="433" t="s">
        <v>886</v>
      </c>
      <c r="B20" s="437"/>
      <c r="C20" s="438" t="s">
        <v>887</v>
      </c>
      <c r="D20" s="439"/>
      <c r="E20" s="439"/>
      <c r="F20" s="439"/>
      <c r="G20" s="440"/>
      <c r="H20" s="10">
        <v>0</v>
      </c>
      <c r="I20" s="10">
        <v>0</v>
      </c>
      <c r="J20" s="10">
        <v>0</v>
      </c>
      <c r="K20" s="10">
        <v>0</v>
      </c>
      <c r="L20" s="10">
        <v>0</v>
      </c>
      <c r="M20" s="10">
        <v>0</v>
      </c>
      <c r="N20" s="10">
        <v>0</v>
      </c>
      <c r="O20" s="10">
        <v>0</v>
      </c>
      <c r="P20" s="10">
        <v>0</v>
      </c>
      <c r="Q20" s="415">
        <f t="shared" si="0"/>
        <v>0</v>
      </c>
      <c r="R20" s="10">
        <v>0</v>
      </c>
      <c r="S20" s="10">
        <v>0</v>
      </c>
      <c r="T20" s="10">
        <v>0</v>
      </c>
      <c r="U20" s="10">
        <v>0</v>
      </c>
      <c r="V20" s="10">
        <v>0</v>
      </c>
      <c r="W20" s="10">
        <v>0</v>
      </c>
      <c r="X20" s="10">
        <v>0</v>
      </c>
      <c r="Y20" s="10">
        <v>0</v>
      </c>
      <c r="Z20" s="10">
        <v>0</v>
      </c>
      <c r="AA20" s="10">
        <v>0</v>
      </c>
      <c r="AB20" s="10">
        <v>0</v>
      </c>
      <c r="AC20" s="10">
        <v>0</v>
      </c>
      <c r="AD20" s="10">
        <v>0</v>
      </c>
      <c r="AE20" s="415">
        <f t="shared" si="1"/>
        <v>0</v>
      </c>
      <c r="AF20" s="25"/>
    </row>
    <row r="21" spans="1:32" customFormat="1" ht="12.75" customHeight="1" x14ac:dyDescent="0.35">
      <c r="A21" s="433" t="s">
        <v>888</v>
      </c>
      <c r="B21" s="437"/>
      <c r="C21" s="438" t="s">
        <v>889</v>
      </c>
      <c r="D21" s="439"/>
      <c r="E21" s="439"/>
      <c r="F21" s="439"/>
      <c r="G21" s="440"/>
      <c r="H21" s="10">
        <v>0</v>
      </c>
      <c r="I21" s="10">
        <v>0</v>
      </c>
      <c r="J21" s="10">
        <v>0</v>
      </c>
      <c r="K21" s="10">
        <v>30</v>
      </c>
      <c r="L21" s="10">
        <v>0</v>
      </c>
      <c r="M21" s="10">
        <v>0</v>
      </c>
      <c r="N21" s="10">
        <v>0</v>
      </c>
      <c r="O21" s="10">
        <v>144</v>
      </c>
      <c r="P21" s="10">
        <v>0</v>
      </c>
      <c r="Q21" s="415">
        <f t="shared" si="0"/>
        <v>174</v>
      </c>
      <c r="R21" s="10">
        <v>78</v>
      </c>
      <c r="S21" s="10">
        <v>0</v>
      </c>
      <c r="T21" s="10">
        <v>0</v>
      </c>
      <c r="U21" s="10">
        <v>0</v>
      </c>
      <c r="V21" s="10">
        <v>0</v>
      </c>
      <c r="W21" s="10">
        <v>0</v>
      </c>
      <c r="X21" s="10">
        <v>0</v>
      </c>
      <c r="Y21" s="10">
        <v>0</v>
      </c>
      <c r="Z21" s="10">
        <v>0</v>
      </c>
      <c r="AA21" s="10">
        <v>0</v>
      </c>
      <c r="AB21" s="10">
        <v>0</v>
      </c>
      <c r="AC21" s="10">
        <v>122</v>
      </c>
      <c r="AD21" s="10">
        <v>0</v>
      </c>
      <c r="AE21" s="415">
        <f t="shared" si="1"/>
        <v>374</v>
      </c>
      <c r="AF21" s="25"/>
    </row>
    <row r="22" spans="1:32" customFormat="1" ht="12.75" customHeight="1" x14ac:dyDescent="0.35">
      <c r="A22" s="433" t="s">
        <v>890</v>
      </c>
      <c r="B22" s="437"/>
      <c r="C22" s="438" t="s">
        <v>891</v>
      </c>
      <c r="D22" s="439"/>
      <c r="E22" s="439"/>
      <c r="F22" s="439"/>
      <c r="G22" s="440"/>
      <c r="H22" s="10">
        <v>0</v>
      </c>
      <c r="I22" s="10">
        <v>0</v>
      </c>
      <c r="J22" s="10">
        <v>0</v>
      </c>
      <c r="K22" s="10">
        <v>0</v>
      </c>
      <c r="L22" s="10">
        <v>0</v>
      </c>
      <c r="M22" s="10">
        <v>0</v>
      </c>
      <c r="N22" s="10">
        <v>0</v>
      </c>
      <c r="O22" s="10">
        <v>0</v>
      </c>
      <c r="P22" s="10">
        <v>0</v>
      </c>
      <c r="Q22" s="415">
        <f t="shared" si="0"/>
        <v>0</v>
      </c>
      <c r="R22" s="10">
        <v>0</v>
      </c>
      <c r="S22" s="10">
        <v>0</v>
      </c>
      <c r="T22" s="10">
        <v>0</v>
      </c>
      <c r="U22" s="10">
        <v>0</v>
      </c>
      <c r="V22" s="10">
        <v>0</v>
      </c>
      <c r="W22" s="10">
        <v>0</v>
      </c>
      <c r="X22" s="10">
        <v>0</v>
      </c>
      <c r="Y22" s="10">
        <v>0</v>
      </c>
      <c r="Z22" s="10">
        <v>0</v>
      </c>
      <c r="AA22" s="10">
        <v>0</v>
      </c>
      <c r="AB22" s="10">
        <v>0</v>
      </c>
      <c r="AC22" s="10">
        <v>0</v>
      </c>
      <c r="AD22" s="10">
        <v>0</v>
      </c>
      <c r="AE22" s="415">
        <f t="shared" si="1"/>
        <v>0</v>
      </c>
      <c r="AF22" s="25"/>
    </row>
    <row r="23" spans="1:32" customFormat="1" ht="12.75" customHeight="1" x14ac:dyDescent="0.35">
      <c r="A23" s="433" t="s">
        <v>892</v>
      </c>
      <c r="B23" s="437"/>
      <c r="C23" s="438" t="s">
        <v>893</v>
      </c>
      <c r="D23" s="439"/>
      <c r="E23" s="439"/>
      <c r="F23" s="439"/>
      <c r="G23" s="440"/>
      <c r="H23" s="10">
        <v>168</v>
      </c>
      <c r="I23" s="10">
        <v>81</v>
      </c>
      <c r="J23" s="10">
        <v>257</v>
      </c>
      <c r="K23" s="10">
        <v>1738</v>
      </c>
      <c r="L23" s="10">
        <v>101</v>
      </c>
      <c r="M23" s="10">
        <v>0</v>
      </c>
      <c r="N23" s="10">
        <v>86</v>
      </c>
      <c r="O23" s="10">
        <v>783</v>
      </c>
      <c r="P23" s="10">
        <v>83</v>
      </c>
      <c r="Q23" s="415">
        <f t="shared" si="0"/>
        <v>3297</v>
      </c>
      <c r="R23" s="10">
        <v>-31</v>
      </c>
      <c r="S23" s="10">
        <v>0</v>
      </c>
      <c r="T23" s="10">
        <v>395</v>
      </c>
      <c r="U23" s="10">
        <v>0</v>
      </c>
      <c r="V23" s="10">
        <v>40</v>
      </c>
      <c r="W23" s="10">
        <v>215</v>
      </c>
      <c r="X23" s="10">
        <v>600</v>
      </c>
      <c r="Y23" s="10">
        <v>0</v>
      </c>
      <c r="Z23" s="10">
        <v>255</v>
      </c>
      <c r="AA23" s="10">
        <v>74</v>
      </c>
      <c r="AB23" s="10">
        <v>0</v>
      </c>
      <c r="AC23" s="10">
        <v>104</v>
      </c>
      <c r="AD23" s="10">
        <v>238</v>
      </c>
      <c r="AE23" s="415">
        <f t="shared" si="1"/>
        <v>5187</v>
      </c>
      <c r="AF23" s="25"/>
    </row>
    <row r="24" spans="1:32" customFormat="1" ht="12.75" customHeight="1" x14ac:dyDescent="0.35">
      <c r="A24" s="433" t="s">
        <v>894</v>
      </c>
      <c r="B24" s="437"/>
      <c r="C24" s="438" t="s">
        <v>895</v>
      </c>
      <c r="D24" s="439"/>
      <c r="E24" s="439"/>
      <c r="F24" s="439"/>
      <c r="G24" s="440"/>
      <c r="H24" s="10">
        <v>566</v>
      </c>
      <c r="I24" s="10">
        <v>0</v>
      </c>
      <c r="J24" s="10">
        <v>39</v>
      </c>
      <c r="K24" s="10">
        <v>8612</v>
      </c>
      <c r="L24" s="10">
        <v>31</v>
      </c>
      <c r="M24" s="10">
        <v>0</v>
      </c>
      <c r="N24" s="10">
        <v>15</v>
      </c>
      <c r="O24" s="10">
        <v>88</v>
      </c>
      <c r="P24" s="10">
        <v>94</v>
      </c>
      <c r="Q24" s="415">
        <f t="shared" si="0"/>
        <v>9445</v>
      </c>
      <c r="R24" s="10">
        <v>1911</v>
      </c>
      <c r="S24" s="10">
        <v>0</v>
      </c>
      <c r="T24" s="10">
        <v>2322</v>
      </c>
      <c r="U24" s="10">
        <v>0</v>
      </c>
      <c r="V24" s="10">
        <v>2345</v>
      </c>
      <c r="W24" s="10">
        <v>0</v>
      </c>
      <c r="X24" s="10">
        <v>426</v>
      </c>
      <c r="Y24" s="10">
        <v>0</v>
      </c>
      <c r="Z24" s="10">
        <v>103</v>
      </c>
      <c r="AA24" s="10">
        <v>0</v>
      </c>
      <c r="AB24" s="10">
        <v>0</v>
      </c>
      <c r="AC24" s="10">
        <v>121</v>
      </c>
      <c r="AD24" s="10">
        <v>0</v>
      </c>
      <c r="AE24" s="415">
        <f t="shared" si="1"/>
        <v>16673</v>
      </c>
      <c r="AF24" s="25"/>
    </row>
    <row r="25" spans="1:32" customFormat="1" ht="12.75" customHeight="1" x14ac:dyDescent="0.35">
      <c r="A25" s="433" t="s">
        <v>896</v>
      </c>
      <c r="B25" s="437"/>
      <c r="C25" s="438" t="s">
        <v>897</v>
      </c>
      <c r="D25" s="439"/>
      <c r="E25" s="439"/>
      <c r="F25" s="439"/>
      <c r="G25" s="440"/>
      <c r="H25" s="10">
        <v>1</v>
      </c>
      <c r="I25" s="10">
        <v>53</v>
      </c>
      <c r="J25" s="10">
        <v>0</v>
      </c>
      <c r="K25" s="10">
        <v>1619</v>
      </c>
      <c r="L25" s="10">
        <v>0</v>
      </c>
      <c r="M25" s="10">
        <v>21</v>
      </c>
      <c r="N25" s="10">
        <v>0</v>
      </c>
      <c r="O25" s="10">
        <v>829</v>
      </c>
      <c r="P25" s="10">
        <v>5</v>
      </c>
      <c r="Q25" s="415">
        <f t="shared" si="0"/>
        <v>2528</v>
      </c>
      <c r="R25" s="10">
        <v>133</v>
      </c>
      <c r="S25" s="10">
        <v>0</v>
      </c>
      <c r="T25" s="10">
        <v>107</v>
      </c>
      <c r="U25" s="10">
        <v>0</v>
      </c>
      <c r="V25" s="10">
        <v>268</v>
      </c>
      <c r="W25" s="10">
        <v>17</v>
      </c>
      <c r="X25" s="10">
        <v>36</v>
      </c>
      <c r="Y25" s="10">
        <v>0</v>
      </c>
      <c r="Z25" s="10">
        <v>60</v>
      </c>
      <c r="AA25" s="10">
        <v>14</v>
      </c>
      <c r="AB25" s="10">
        <v>0</v>
      </c>
      <c r="AC25" s="10">
        <v>276</v>
      </c>
      <c r="AD25" s="10">
        <v>0</v>
      </c>
      <c r="AE25" s="415">
        <f t="shared" si="1"/>
        <v>3439</v>
      </c>
      <c r="AF25" s="25"/>
    </row>
    <row r="26" spans="1:32" customFormat="1" ht="12.75" customHeight="1" x14ac:dyDescent="0.35">
      <c r="A26" s="433" t="s">
        <v>898</v>
      </c>
      <c r="B26" s="437"/>
      <c r="C26" s="438" t="s">
        <v>899</v>
      </c>
      <c r="D26" s="439"/>
      <c r="E26" s="439"/>
      <c r="F26" s="439"/>
      <c r="G26" s="440"/>
      <c r="H26" s="10">
        <v>361</v>
      </c>
      <c r="I26" s="10">
        <v>239</v>
      </c>
      <c r="J26" s="10">
        <v>-2</v>
      </c>
      <c r="K26" s="10">
        <v>6109</v>
      </c>
      <c r="L26" s="10">
        <v>20</v>
      </c>
      <c r="M26" s="10">
        <v>305</v>
      </c>
      <c r="N26" s="10">
        <v>293</v>
      </c>
      <c r="O26" s="10">
        <v>1870</v>
      </c>
      <c r="P26" s="10">
        <v>673</v>
      </c>
      <c r="Q26" s="415">
        <f t="shared" si="0"/>
        <v>9868</v>
      </c>
      <c r="R26" s="10">
        <v>1169</v>
      </c>
      <c r="S26" s="10">
        <v>0</v>
      </c>
      <c r="T26" s="10">
        <v>3010</v>
      </c>
      <c r="U26" s="10">
        <v>0</v>
      </c>
      <c r="V26" s="10">
        <v>1726</v>
      </c>
      <c r="W26" s="10">
        <v>74</v>
      </c>
      <c r="X26" s="10">
        <v>373</v>
      </c>
      <c r="Y26" s="10">
        <v>0</v>
      </c>
      <c r="Z26" s="10">
        <v>177</v>
      </c>
      <c r="AA26" s="10">
        <v>151</v>
      </c>
      <c r="AB26" s="10">
        <v>-2</v>
      </c>
      <c r="AC26" s="10">
        <v>2656</v>
      </c>
      <c r="AD26" s="10">
        <v>433</v>
      </c>
      <c r="AE26" s="415">
        <f t="shared" si="1"/>
        <v>19635</v>
      </c>
      <c r="AF26" s="25"/>
    </row>
    <row r="27" spans="1:32" customFormat="1" ht="12.75" customHeight="1" x14ac:dyDescent="0.35">
      <c r="A27" s="433" t="s">
        <v>900</v>
      </c>
      <c r="B27" s="437"/>
      <c r="C27" s="438" t="s">
        <v>901</v>
      </c>
      <c r="D27" s="439"/>
      <c r="E27" s="439"/>
      <c r="F27" s="439"/>
      <c r="G27" s="440"/>
      <c r="H27" s="10">
        <v>4</v>
      </c>
      <c r="I27" s="10">
        <v>0</v>
      </c>
      <c r="J27" s="10">
        <v>-37</v>
      </c>
      <c r="K27" s="10">
        <v>2255</v>
      </c>
      <c r="L27" s="10">
        <v>91</v>
      </c>
      <c r="M27" s="10">
        <v>0</v>
      </c>
      <c r="N27" s="10">
        <v>165</v>
      </c>
      <c r="O27" s="10">
        <v>464</v>
      </c>
      <c r="P27" s="10">
        <v>1674</v>
      </c>
      <c r="Q27" s="415">
        <f t="shared" si="0"/>
        <v>4616</v>
      </c>
      <c r="R27" s="10">
        <v>286</v>
      </c>
      <c r="S27" s="10">
        <v>0</v>
      </c>
      <c r="T27" s="10">
        <v>157</v>
      </c>
      <c r="U27" s="10">
        <v>0</v>
      </c>
      <c r="V27" s="10">
        <v>465</v>
      </c>
      <c r="W27" s="10">
        <v>38</v>
      </c>
      <c r="X27" s="10">
        <v>1179</v>
      </c>
      <c r="Y27" s="10">
        <v>0</v>
      </c>
      <c r="Z27" s="10">
        <v>2</v>
      </c>
      <c r="AA27" s="10">
        <v>13</v>
      </c>
      <c r="AB27" s="10">
        <v>19</v>
      </c>
      <c r="AC27" s="10">
        <v>26</v>
      </c>
      <c r="AD27" s="10">
        <v>676</v>
      </c>
      <c r="AE27" s="415">
        <f t="shared" si="1"/>
        <v>7477</v>
      </c>
      <c r="AF27" s="25"/>
    </row>
    <row r="28" spans="1:32" customFormat="1" ht="12.75" customHeight="1" x14ac:dyDescent="0.35">
      <c r="A28" s="433" t="s">
        <v>902</v>
      </c>
      <c r="B28" s="437"/>
      <c r="C28" s="438" t="s">
        <v>903</v>
      </c>
      <c r="D28" s="439"/>
      <c r="E28" s="439"/>
      <c r="F28" s="439"/>
      <c r="G28" s="440"/>
      <c r="H28" s="10">
        <v>0</v>
      </c>
      <c r="I28" s="10">
        <v>87</v>
      </c>
      <c r="J28" s="10">
        <v>4</v>
      </c>
      <c r="K28" s="10">
        <v>3</v>
      </c>
      <c r="L28" s="10">
        <v>59</v>
      </c>
      <c r="M28" s="10">
        <v>54</v>
      </c>
      <c r="N28" s="10">
        <v>0</v>
      </c>
      <c r="O28" s="10">
        <v>0</v>
      </c>
      <c r="P28" s="10">
        <v>105</v>
      </c>
      <c r="Q28" s="415">
        <f t="shared" si="0"/>
        <v>312</v>
      </c>
      <c r="R28" s="10">
        <v>-8</v>
      </c>
      <c r="S28" s="10">
        <v>0</v>
      </c>
      <c r="T28" s="10">
        <v>10</v>
      </c>
      <c r="U28" s="10">
        <v>0</v>
      </c>
      <c r="V28" s="10">
        <v>0</v>
      </c>
      <c r="W28" s="10">
        <v>0</v>
      </c>
      <c r="X28" s="10">
        <v>0</v>
      </c>
      <c r="Y28" s="10">
        <v>0</v>
      </c>
      <c r="Z28" s="10">
        <v>0</v>
      </c>
      <c r="AA28" s="10">
        <v>0</v>
      </c>
      <c r="AB28" s="10">
        <v>0</v>
      </c>
      <c r="AC28" s="10">
        <v>0</v>
      </c>
      <c r="AD28" s="10">
        <v>0</v>
      </c>
      <c r="AE28" s="415">
        <f t="shared" si="1"/>
        <v>314</v>
      </c>
      <c r="AF28" s="25"/>
    </row>
    <row r="29" spans="1:32" customFormat="1" ht="12.75" customHeight="1" x14ac:dyDescent="0.35">
      <c r="A29" s="433" t="s">
        <v>904</v>
      </c>
      <c r="B29" s="437"/>
      <c r="C29" s="438" t="s">
        <v>905</v>
      </c>
      <c r="D29" s="439"/>
      <c r="E29" s="439"/>
      <c r="F29" s="439"/>
      <c r="G29" s="440"/>
      <c r="H29" s="10">
        <v>0</v>
      </c>
      <c r="I29" s="10">
        <v>0</v>
      </c>
      <c r="J29" s="10">
        <v>0</v>
      </c>
      <c r="K29" s="10">
        <v>0</v>
      </c>
      <c r="L29" s="10">
        <v>0</v>
      </c>
      <c r="M29" s="10">
        <v>0</v>
      </c>
      <c r="N29" s="10">
        <v>0</v>
      </c>
      <c r="O29" s="10">
        <v>0</v>
      </c>
      <c r="P29" s="10">
        <v>0</v>
      </c>
      <c r="Q29" s="415">
        <f t="shared" si="0"/>
        <v>0</v>
      </c>
      <c r="R29" s="10">
        <v>0</v>
      </c>
      <c r="S29" s="10">
        <v>0</v>
      </c>
      <c r="T29" s="10">
        <v>0</v>
      </c>
      <c r="U29" s="10">
        <v>0</v>
      </c>
      <c r="V29" s="10">
        <v>0</v>
      </c>
      <c r="W29" s="10">
        <v>0</v>
      </c>
      <c r="X29" s="10">
        <v>0</v>
      </c>
      <c r="Y29" s="10">
        <v>0</v>
      </c>
      <c r="Z29" s="10">
        <v>0</v>
      </c>
      <c r="AA29" s="10">
        <v>-1</v>
      </c>
      <c r="AB29" s="10">
        <v>0</v>
      </c>
      <c r="AC29" s="10">
        <v>0</v>
      </c>
      <c r="AD29" s="10">
        <v>0</v>
      </c>
      <c r="AE29" s="415">
        <f t="shared" si="1"/>
        <v>-1</v>
      </c>
      <c r="AF29" s="25"/>
    </row>
    <row r="30" spans="1:32" customFormat="1" ht="12.75" customHeight="1" x14ac:dyDescent="0.35">
      <c r="A30" s="433" t="s">
        <v>906</v>
      </c>
      <c r="B30" s="437"/>
      <c r="C30" s="438" t="s">
        <v>907</v>
      </c>
      <c r="D30" s="439"/>
      <c r="E30" s="439"/>
      <c r="F30" s="439"/>
      <c r="G30" s="440"/>
      <c r="H30" s="10">
        <v>0</v>
      </c>
      <c r="I30" s="10">
        <v>0</v>
      </c>
      <c r="J30" s="10">
        <v>0</v>
      </c>
      <c r="K30" s="10">
        <v>0</v>
      </c>
      <c r="L30" s="10">
        <v>29</v>
      </c>
      <c r="M30" s="10">
        <v>0</v>
      </c>
      <c r="N30" s="10">
        <v>0</v>
      </c>
      <c r="O30" s="10">
        <v>252</v>
      </c>
      <c r="P30" s="10">
        <v>172</v>
      </c>
      <c r="Q30" s="415">
        <f t="shared" si="0"/>
        <v>453</v>
      </c>
      <c r="R30" s="10">
        <v>69</v>
      </c>
      <c r="S30" s="10">
        <v>0</v>
      </c>
      <c r="T30" s="10">
        <v>0</v>
      </c>
      <c r="U30" s="10">
        <v>0</v>
      </c>
      <c r="V30" s="10">
        <v>0</v>
      </c>
      <c r="W30" s="10">
        <v>2</v>
      </c>
      <c r="X30" s="10">
        <v>293</v>
      </c>
      <c r="Y30" s="10">
        <v>0</v>
      </c>
      <c r="Z30" s="10">
        <v>0</v>
      </c>
      <c r="AA30" s="10">
        <v>0</v>
      </c>
      <c r="AB30" s="10">
        <v>0</v>
      </c>
      <c r="AC30" s="10">
        <v>0</v>
      </c>
      <c r="AD30" s="10">
        <v>130</v>
      </c>
      <c r="AE30" s="415">
        <f t="shared" si="1"/>
        <v>947</v>
      </c>
      <c r="AF30" s="25"/>
    </row>
    <row r="31" spans="1:32" customFormat="1" ht="12.75" customHeight="1" x14ac:dyDescent="0.35">
      <c r="A31" s="433" t="s">
        <v>908</v>
      </c>
      <c r="B31" s="437"/>
      <c r="C31" s="438" t="s">
        <v>909</v>
      </c>
      <c r="D31" s="439"/>
      <c r="E31" s="439"/>
      <c r="F31" s="439"/>
      <c r="G31" s="440"/>
      <c r="H31" s="10">
        <v>0</v>
      </c>
      <c r="I31" s="10">
        <v>0</v>
      </c>
      <c r="J31" s="10">
        <v>0</v>
      </c>
      <c r="K31" s="10">
        <v>29</v>
      </c>
      <c r="L31" s="10">
        <v>-16</v>
      </c>
      <c r="M31" s="10">
        <v>0</v>
      </c>
      <c r="N31" s="10">
        <v>0</v>
      </c>
      <c r="O31" s="10">
        <v>73</v>
      </c>
      <c r="P31" s="10">
        <v>0</v>
      </c>
      <c r="Q31" s="415">
        <f t="shared" si="0"/>
        <v>86</v>
      </c>
      <c r="R31" s="10">
        <v>232</v>
      </c>
      <c r="S31" s="10">
        <v>0</v>
      </c>
      <c r="T31" s="10">
        <v>67</v>
      </c>
      <c r="U31" s="10">
        <v>0</v>
      </c>
      <c r="V31" s="10">
        <v>0</v>
      </c>
      <c r="W31" s="10">
        <v>-33</v>
      </c>
      <c r="X31" s="10">
        <v>0</v>
      </c>
      <c r="Y31" s="10">
        <v>0</v>
      </c>
      <c r="Z31" s="10">
        <v>0</v>
      </c>
      <c r="AA31" s="10">
        <v>0</v>
      </c>
      <c r="AB31" s="10">
        <v>5</v>
      </c>
      <c r="AC31" s="10">
        <v>0</v>
      </c>
      <c r="AD31" s="10">
        <v>0</v>
      </c>
      <c r="AE31" s="415">
        <f t="shared" si="1"/>
        <v>357</v>
      </c>
      <c r="AF31" s="25"/>
    </row>
    <row r="32" spans="1:32" customFormat="1" ht="12.75" customHeight="1" x14ac:dyDescent="0.35">
      <c r="A32" s="433" t="s">
        <v>910</v>
      </c>
      <c r="B32" s="437"/>
      <c r="C32" s="438" t="s">
        <v>911</v>
      </c>
      <c r="D32" s="439"/>
      <c r="E32" s="439"/>
      <c r="F32" s="439"/>
      <c r="G32" s="440"/>
      <c r="H32" s="10">
        <v>0</v>
      </c>
      <c r="I32" s="10">
        <v>0</v>
      </c>
      <c r="J32" s="10">
        <v>0</v>
      </c>
      <c r="K32" s="10">
        <v>0</v>
      </c>
      <c r="L32" s="10">
        <v>76</v>
      </c>
      <c r="M32" s="10">
        <v>51</v>
      </c>
      <c r="N32" s="10">
        <v>0</v>
      </c>
      <c r="O32" s="10">
        <v>121</v>
      </c>
      <c r="P32" s="10">
        <v>296</v>
      </c>
      <c r="Q32" s="415">
        <f t="shared" si="0"/>
        <v>544</v>
      </c>
      <c r="R32" s="10">
        <v>415</v>
      </c>
      <c r="S32" s="10">
        <v>0</v>
      </c>
      <c r="T32" s="10">
        <v>111</v>
      </c>
      <c r="U32" s="10">
        <v>0</v>
      </c>
      <c r="V32" s="10">
        <v>0</v>
      </c>
      <c r="W32" s="10">
        <v>0</v>
      </c>
      <c r="X32" s="10">
        <v>7</v>
      </c>
      <c r="Y32" s="10">
        <v>0</v>
      </c>
      <c r="Z32" s="10">
        <v>0</v>
      </c>
      <c r="AA32" s="10">
        <v>0</v>
      </c>
      <c r="AB32" s="10">
        <v>0</v>
      </c>
      <c r="AC32" s="10">
        <v>0</v>
      </c>
      <c r="AD32" s="10">
        <v>0</v>
      </c>
      <c r="AE32" s="415">
        <f t="shared" si="1"/>
        <v>1077</v>
      </c>
      <c r="AF32" s="25"/>
    </row>
    <row r="33" spans="1:32" customFormat="1" ht="12.75" customHeight="1" x14ac:dyDescent="0.35">
      <c r="A33" s="433" t="s">
        <v>912</v>
      </c>
      <c r="B33" s="437"/>
      <c r="C33" s="438" t="s">
        <v>913</v>
      </c>
      <c r="D33" s="439"/>
      <c r="E33" s="439"/>
      <c r="F33" s="439"/>
      <c r="G33" s="440"/>
      <c r="H33" s="10">
        <v>0</v>
      </c>
      <c r="I33" s="10">
        <v>0</v>
      </c>
      <c r="J33" s="10">
        <v>0</v>
      </c>
      <c r="K33" s="10">
        <v>4</v>
      </c>
      <c r="L33" s="10">
        <v>182</v>
      </c>
      <c r="M33" s="10">
        <v>122</v>
      </c>
      <c r="N33" s="10">
        <v>0</v>
      </c>
      <c r="O33" s="10">
        <v>1175</v>
      </c>
      <c r="P33" s="10">
        <v>27</v>
      </c>
      <c r="Q33" s="415">
        <f t="shared" si="0"/>
        <v>1510</v>
      </c>
      <c r="R33" s="10">
        <v>177</v>
      </c>
      <c r="S33" s="10">
        <v>0</v>
      </c>
      <c r="T33" s="10">
        <v>0</v>
      </c>
      <c r="U33" s="10">
        <v>0</v>
      </c>
      <c r="V33" s="10">
        <v>0</v>
      </c>
      <c r="W33" s="10">
        <v>1</v>
      </c>
      <c r="X33" s="10">
        <v>-10</v>
      </c>
      <c r="Y33" s="10">
        <v>0</v>
      </c>
      <c r="Z33" s="10">
        <v>0</v>
      </c>
      <c r="AA33" s="10">
        <v>113</v>
      </c>
      <c r="AB33" s="10">
        <v>0</v>
      </c>
      <c r="AC33" s="10">
        <v>0</v>
      </c>
      <c r="AD33" s="10">
        <v>0</v>
      </c>
      <c r="AE33" s="415">
        <f t="shared" si="1"/>
        <v>1791</v>
      </c>
      <c r="AF33" s="25"/>
    </row>
    <row r="34" spans="1:32" customFormat="1" ht="12.75" customHeight="1" x14ac:dyDescent="0.35">
      <c r="A34" s="433" t="s">
        <v>914</v>
      </c>
      <c r="B34" s="437"/>
      <c r="C34" s="438" t="s">
        <v>915</v>
      </c>
      <c r="D34" s="439"/>
      <c r="E34" s="439"/>
      <c r="F34" s="439"/>
      <c r="G34" s="440"/>
      <c r="H34" s="10">
        <v>0</v>
      </c>
      <c r="I34" s="10">
        <v>0</v>
      </c>
      <c r="J34" s="10">
        <v>0</v>
      </c>
      <c r="K34" s="10">
        <v>0</v>
      </c>
      <c r="L34" s="10">
        <v>112</v>
      </c>
      <c r="M34" s="10">
        <v>0</v>
      </c>
      <c r="N34" s="10">
        <v>0</v>
      </c>
      <c r="O34" s="10">
        <v>150</v>
      </c>
      <c r="P34" s="10">
        <v>6</v>
      </c>
      <c r="Q34" s="415">
        <f t="shared" si="0"/>
        <v>268</v>
      </c>
      <c r="R34" s="10">
        <v>19</v>
      </c>
      <c r="S34" s="10">
        <v>0</v>
      </c>
      <c r="T34" s="10">
        <v>0</v>
      </c>
      <c r="U34" s="10">
        <v>0</v>
      </c>
      <c r="V34" s="10">
        <v>0</v>
      </c>
      <c r="W34" s="10">
        <v>-50</v>
      </c>
      <c r="X34" s="10">
        <v>0</v>
      </c>
      <c r="Y34" s="10">
        <v>0</v>
      </c>
      <c r="Z34" s="10">
        <v>0</v>
      </c>
      <c r="AA34" s="10">
        <v>0</v>
      </c>
      <c r="AB34" s="10">
        <v>0</v>
      </c>
      <c r="AC34" s="10">
        <v>0</v>
      </c>
      <c r="AD34" s="10">
        <v>0</v>
      </c>
      <c r="AE34" s="415">
        <f t="shared" si="1"/>
        <v>237</v>
      </c>
      <c r="AF34" s="25"/>
    </row>
    <row r="35" spans="1:32" customFormat="1" ht="12.75" customHeight="1" x14ac:dyDescent="0.35">
      <c r="A35" s="433" t="s">
        <v>916</v>
      </c>
      <c r="B35" s="437"/>
      <c r="C35" s="438" t="s">
        <v>917</v>
      </c>
      <c r="D35" s="439"/>
      <c r="E35" s="439"/>
      <c r="F35" s="439"/>
      <c r="G35" s="440"/>
      <c r="H35" s="10">
        <v>0</v>
      </c>
      <c r="I35" s="10">
        <v>77</v>
      </c>
      <c r="J35" s="10">
        <v>96</v>
      </c>
      <c r="K35" s="10">
        <v>615</v>
      </c>
      <c r="L35" s="10">
        <v>320</v>
      </c>
      <c r="M35" s="10">
        <v>27</v>
      </c>
      <c r="N35" s="10">
        <v>0</v>
      </c>
      <c r="O35" s="10">
        <v>92</v>
      </c>
      <c r="P35" s="10">
        <v>-21</v>
      </c>
      <c r="Q35" s="415">
        <f t="shared" si="0"/>
        <v>1206</v>
      </c>
      <c r="R35" s="10">
        <v>273</v>
      </c>
      <c r="S35" s="10">
        <v>0</v>
      </c>
      <c r="T35" s="10">
        <v>5610</v>
      </c>
      <c r="U35" s="10">
        <v>0</v>
      </c>
      <c r="V35" s="10">
        <v>0</v>
      </c>
      <c r="W35" s="10">
        <v>-102</v>
      </c>
      <c r="X35" s="10">
        <v>12</v>
      </c>
      <c r="Y35" s="10">
        <v>0</v>
      </c>
      <c r="Z35" s="10">
        <v>0</v>
      </c>
      <c r="AA35" s="10">
        <v>0</v>
      </c>
      <c r="AB35" s="10">
        <v>152</v>
      </c>
      <c r="AC35" s="10">
        <v>0</v>
      </c>
      <c r="AD35" s="10">
        <v>1</v>
      </c>
      <c r="AE35" s="415">
        <f t="shared" si="1"/>
        <v>7152</v>
      </c>
      <c r="AF35" s="25"/>
    </row>
    <row r="36" spans="1:32" customFormat="1" ht="12.75" customHeight="1" x14ac:dyDescent="0.35">
      <c r="A36" s="433" t="s">
        <v>918</v>
      </c>
      <c r="B36" s="437"/>
      <c r="C36" s="438" t="s">
        <v>919</v>
      </c>
      <c r="D36" s="439"/>
      <c r="E36" s="439"/>
      <c r="F36" s="439"/>
      <c r="G36" s="440"/>
      <c r="H36" s="10">
        <v>0</v>
      </c>
      <c r="I36" s="10">
        <v>61</v>
      </c>
      <c r="J36" s="10">
        <v>0</v>
      </c>
      <c r="K36" s="10">
        <v>5</v>
      </c>
      <c r="L36" s="10">
        <v>32</v>
      </c>
      <c r="M36" s="10">
        <v>73</v>
      </c>
      <c r="N36" s="10">
        <v>0</v>
      </c>
      <c r="O36" s="10">
        <v>347</v>
      </c>
      <c r="P36" s="10">
        <v>0</v>
      </c>
      <c r="Q36" s="415">
        <f t="shared" si="0"/>
        <v>518</v>
      </c>
      <c r="R36" s="10">
        <v>195</v>
      </c>
      <c r="S36" s="10">
        <v>0</v>
      </c>
      <c r="T36" s="10">
        <v>358</v>
      </c>
      <c r="U36" s="10">
        <v>0</v>
      </c>
      <c r="V36" s="10">
        <v>0</v>
      </c>
      <c r="W36" s="10">
        <v>0</v>
      </c>
      <c r="X36" s="10">
        <v>191</v>
      </c>
      <c r="Y36" s="10">
        <v>0</v>
      </c>
      <c r="Z36" s="10">
        <v>0</v>
      </c>
      <c r="AA36" s="10">
        <v>0</v>
      </c>
      <c r="AB36" s="10">
        <v>0</v>
      </c>
      <c r="AC36" s="10">
        <v>0</v>
      </c>
      <c r="AD36" s="10">
        <v>11</v>
      </c>
      <c r="AE36" s="415">
        <f t="shared" si="1"/>
        <v>1273</v>
      </c>
      <c r="AF36" s="25"/>
    </row>
    <row r="37" spans="1:32" customFormat="1" ht="12.75" customHeight="1" x14ac:dyDescent="0.35">
      <c r="A37" s="433" t="s">
        <v>920</v>
      </c>
      <c r="B37" s="437"/>
      <c r="C37" s="438" t="s">
        <v>921</v>
      </c>
      <c r="D37" s="439"/>
      <c r="E37" s="439"/>
      <c r="F37" s="439"/>
      <c r="G37" s="440"/>
      <c r="H37" s="10">
        <v>107</v>
      </c>
      <c r="I37" s="10">
        <v>12</v>
      </c>
      <c r="J37" s="10">
        <v>28</v>
      </c>
      <c r="K37" s="10">
        <v>188</v>
      </c>
      <c r="L37" s="10">
        <v>814</v>
      </c>
      <c r="M37" s="10">
        <v>-41</v>
      </c>
      <c r="N37" s="10">
        <v>0</v>
      </c>
      <c r="O37" s="10">
        <v>995</v>
      </c>
      <c r="P37" s="10">
        <v>211</v>
      </c>
      <c r="Q37" s="415">
        <f t="shared" si="0"/>
        <v>2314</v>
      </c>
      <c r="R37" s="10">
        <v>18</v>
      </c>
      <c r="S37" s="10">
        <v>0</v>
      </c>
      <c r="T37" s="10">
        <v>111</v>
      </c>
      <c r="U37" s="10">
        <v>0</v>
      </c>
      <c r="V37" s="10">
        <v>5</v>
      </c>
      <c r="W37" s="10">
        <v>-291</v>
      </c>
      <c r="X37" s="10">
        <v>208</v>
      </c>
      <c r="Y37" s="10">
        <v>0</v>
      </c>
      <c r="Z37" s="10">
        <v>0</v>
      </c>
      <c r="AA37" s="10">
        <v>31</v>
      </c>
      <c r="AB37" s="10">
        <v>-5</v>
      </c>
      <c r="AC37" s="10">
        <v>0</v>
      </c>
      <c r="AD37" s="10">
        <v>3</v>
      </c>
      <c r="AE37" s="415">
        <f t="shared" si="1"/>
        <v>2394</v>
      </c>
      <c r="AF37" s="25"/>
    </row>
    <row r="38" spans="1:32" customFormat="1" ht="12.75" customHeight="1" x14ac:dyDescent="0.35">
      <c r="A38" s="433" t="s">
        <v>922</v>
      </c>
      <c r="B38" s="437"/>
      <c r="C38" s="438" t="s">
        <v>923</v>
      </c>
      <c r="D38" s="439"/>
      <c r="E38" s="439"/>
      <c r="F38" s="439"/>
      <c r="G38" s="440"/>
      <c r="H38" s="10">
        <v>0</v>
      </c>
      <c r="I38" s="10">
        <v>0</v>
      </c>
      <c r="J38" s="10">
        <v>-19</v>
      </c>
      <c r="K38" s="10">
        <v>3</v>
      </c>
      <c r="L38" s="10">
        <v>204</v>
      </c>
      <c r="M38" s="10">
        <v>0</v>
      </c>
      <c r="N38" s="10">
        <v>0</v>
      </c>
      <c r="O38" s="10">
        <v>102</v>
      </c>
      <c r="P38" s="10">
        <v>11</v>
      </c>
      <c r="Q38" s="415">
        <f t="shared" si="0"/>
        <v>301</v>
      </c>
      <c r="R38" s="10">
        <v>509</v>
      </c>
      <c r="S38" s="10">
        <v>0</v>
      </c>
      <c r="T38" s="10">
        <v>-5</v>
      </c>
      <c r="U38" s="10">
        <v>0</v>
      </c>
      <c r="V38" s="10">
        <v>677</v>
      </c>
      <c r="W38" s="10">
        <v>-5</v>
      </c>
      <c r="X38" s="10">
        <v>33</v>
      </c>
      <c r="Y38" s="10">
        <v>0</v>
      </c>
      <c r="Z38" s="10">
        <v>0</v>
      </c>
      <c r="AA38" s="10">
        <v>0</v>
      </c>
      <c r="AB38" s="10">
        <v>0</v>
      </c>
      <c r="AC38" s="10">
        <v>-11</v>
      </c>
      <c r="AD38" s="10">
        <v>1</v>
      </c>
      <c r="AE38" s="415">
        <f t="shared" si="1"/>
        <v>1500</v>
      </c>
      <c r="AF38" s="25"/>
    </row>
    <row r="39" spans="1:32" customFormat="1" ht="12.75" customHeight="1" x14ac:dyDescent="0.35">
      <c r="A39" s="433" t="s">
        <v>924</v>
      </c>
      <c r="B39" s="437"/>
      <c r="C39" s="438" t="s">
        <v>925</v>
      </c>
      <c r="D39" s="439"/>
      <c r="E39" s="439"/>
      <c r="F39" s="439"/>
      <c r="G39" s="440"/>
      <c r="H39" s="10">
        <v>0</v>
      </c>
      <c r="I39" s="10">
        <v>0</v>
      </c>
      <c r="J39" s="10">
        <v>0</v>
      </c>
      <c r="K39" s="10">
        <v>0</v>
      </c>
      <c r="L39" s="10">
        <v>0</v>
      </c>
      <c r="M39" s="10">
        <v>0</v>
      </c>
      <c r="N39" s="10">
        <v>0</v>
      </c>
      <c r="O39" s="10">
        <v>0</v>
      </c>
      <c r="P39" s="10">
        <v>0</v>
      </c>
      <c r="Q39" s="415">
        <f t="shared" si="0"/>
        <v>0</v>
      </c>
      <c r="R39" s="10">
        <v>0</v>
      </c>
      <c r="S39" s="10">
        <v>0</v>
      </c>
      <c r="T39" s="10">
        <v>0</v>
      </c>
      <c r="U39" s="10">
        <v>0</v>
      </c>
      <c r="V39" s="10">
        <v>0</v>
      </c>
      <c r="W39" s="10">
        <v>0</v>
      </c>
      <c r="X39" s="10">
        <v>0</v>
      </c>
      <c r="Y39" s="10">
        <v>0</v>
      </c>
      <c r="Z39" s="10">
        <v>0</v>
      </c>
      <c r="AA39" s="10">
        <v>0</v>
      </c>
      <c r="AB39" s="10">
        <v>0</v>
      </c>
      <c r="AC39" s="10">
        <v>0</v>
      </c>
      <c r="AD39" s="10">
        <v>0</v>
      </c>
      <c r="AE39" s="415">
        <f t="shared" si="1"/>
        <v>0</v>
      </c>
      <c r="AF39" s="25"/>
    </row>
    <row r="40" spans="1:32" customFormat="1" ht="12.75" customHeight="1" x14ac:dyDescent="0.35">
      <c r="A40" s="433" t="s">
        <v>926</v>
      </c>
      <c r="B40" s="437"/>
      <c r="C40" s="438" t="s">
        <v>927</v>
      </c>
      <c r="D40" s="439"/>
      <c r="E40" s="439"/>
      <c r="F40" s="439"/>
      <c r="G40" s="440"/>
      <c r="H40" s="10">
        <v>0</v>
      </c>
      <c r="I40" s="10">
        <v>0</v>
      </c>
      <c r="J40" s="10">
        <v>-18</v>
      </c>
      <c r="K40" s="10">
        <v>167</v>
      </c>
      <c r="L40" s="10">
        <v>724</v>
      </c>
      <c r="M40" s="10">
        <v>104</v>
      </c>
      <c r="N40" s="10">
        <v>0</v>
      </c>
      <c r="O40" s="10">
        <v>260</v>
      </c>
      <c r="P40" s="10">
        <v>0</v>
      </c>
      <c r="Q40" s="415">
        <f t="shared" si="0"/>
        <v>1237</v>
      </c>
      <c r="R40" s="10">
        <v>242</v>
      </c>
      <c r="S40" s="10">
        <v>0</v>
      </c>
      <c r="T40" s="10">
        <v>801</v>
      </c>
      <c r="U40" s="10">
        <v>0</v>
      </c>
      <c r="V40" s="10">
        <v>129</v>
      </c>
      <c r="W40" s="10">
        <v>-18</v>
      </c>
      <c r="X40" s="10">
        <v>0</v>
      </c>
      <c r="Y40" s="10">
        <v>3169</v>
      </c>
      <c r="Z40" s="10">
        <v>0</v>
      </c>
      <c r="AA40" s="10">
        <v>0</v>
      </c>
      <c r="AB40" s="10">
        <v>65</v>
      </c>
      <c r="AC40" s="10">
        <v>0</v>
      </c>
      <c r="AD40" s="10">
        <v>103</v>
      </c>
      <c r="AE40" s="415">
        <f t="shared" si="1"/>
        <v>5728</v>
      </c>
      <c r="AF40" s="25"/>
    </row>
    <row r="41" spans="1:32" customFormat="1" ht="12.75" customHeight="1" x14ac:dyDescent="0.35">
      <c r="A41" s="433" t="s">
        <v>928</v>
      </c>
      <c r="B41" s="437"/>
      <c r="C41" s="438" t="s">
        <v>929</v>
      </c>
      <c r="D41" s="439"/>
      <c r="E41" s="439"/>
      <c r="F41" s="439"/>
      <c r="G41" s="440"/>
      <c r="H41" s="10">
        <v>0</v>
      </c>
      <c r="I41" s="10">
        <v>0</v>
      </c>
      <c r="J41" s="10">
        <v>0</v>
      </c>
      <c r="K41" s="10">
        <v>0</v>
      </c>
      <c r="L41" s="10">
        <v>88</v>
      </c>
      <c r="M41" s="10">
        <v>305</v>
      </c>
      <c r="N41" s="10">
        <v>0</v>
      </c>
      <c r="O41" s="10">
        <v>0</v>
      </c>
      <c r="P41" s="10">
        <v>0</v>
      </c>
      <c r="Q41" s="415">
        <f t="shared" si="0"/>
        <v>393</v>
      </c>
      <c r="R41" s="10">
        <v>24</v>
      </c>
      <c r="S41" s="10">
        <v>0</v>
      </c>
      <c r="T41" s="10">
        <v>0</v>
      </c>
      <c r="U41" s="10">
        <v>0</v>
      </c>
      <c r="V41" s="10">
        <v>0</v>
      </c>
      <c r="W41" s="10">
        <v>0</v>
      </c>
      <c r="X41" s="10">
        <v>52</v>
      </c>
      <c r="Y41" s="10">
        <v>0</v>
      </c>
      <c r="Z41" s="10">
        <v>0</v>
      </c>
      <c r="AA41" s="10">
        <v>0</v>
      </c>
      <c r="AB41" s="10">
        <v>0</v>
      </c>
      <c r="AC41" s="10">
        <v>0</v>
      </c>
      <c r="AD41" s="10">
        <v>11</v>
      </c>
      <c r="AE41" s="415">
        <f t="shared" si="1"/>
        <v>480</v>
      </c>
      <c r="AF41" s="25"/>
    </row>
    <row r="42" spans="1:32" customFormat="1" ht="12.75" customHeight="1" x14ac:dyDescent="0.35">
      <c r="A42" s="433" t="s">
        <v>930</v>
      </c>
      <c r="B42" s="437"/>
      <c r="C42" s="441" t="s">
        <v>931</v>
      </c>
      <c r="D42" s="439"/>
      <c r="E42" s="439"/>
      <c r="F42" s="439"/>
      <c r="G42" s="440"/>
      <c r="H42" s="10">
        <v>0</v>
      </c>
      <c r="I42" s="10">
        <v>0</v>
      </c>
      <c r="J42" s="10">
        <v>3</v>
      </c>
      <c r="K42" s="10">
        <v>0</v>
      </c>
      <c r="L42" s="10">
        <v>139</v>
      </c>
      <c r="M42" s="10">
        <v>397</v>
      </c>
      <c r="N42" s="10">
        <v>0</v>
      </c>
      <c r="O42" s="10">
        <v>320</v>
      </c>
      <c r="P42" s="10">
        <v>190</v>
      </c>
      <c r="Q42" s="415">
        <f t="shared" si="0"/>
        <v>1049</v>
      </c>
      <c r="R42" s="10">
        <v>286</v>
      </c>
      <c r="S42" s="10">
        <v>0</v>
      </c>
      <c r="T42" s="10">
        <v>120</v>
      </c>
      <c r="U42" s="10">
        <v>0</v>
      </c>
      <c r="V42" s="10">
        <v>16</v>
      </c>
      <c r="W42" s="10">
        <v>-37</v>
      </c>
      <c r="X42" s="10">
        <v>361</v>
      </c>
      <c r="Y42" s="10">
        <v>0</v>
      </c>
      <c r="Z42" s="10">
        <v>0</v>
      </c>
      <c r="AA42" s="10">
        <v>71</v>
      </c>
      <c r="AB42" s="10">
        <v>0</v>
      </c>
      <c r="AC42" s="10">
        <v>1</v>
      </c>
      <c r="AD42" s="10">
        <v>0</v>
      </c>
      <c r="AE42" s="415">
        <f t="shared" si="1"/>
        <v>1867</v>
      </c>
      <c r="AF42" s="25"/>
    </row>
    <row r="43" spans="1:32" customFormat="1" ht="12.75" customHeight="1" x14ac:dyDescent="0.35">
      <c r="A43" s="433" t="s">
        <v>932</v>
      </c>
      <c r="B43" s="437"/>
      <c r="C43" s="438" t="s">
        <v>933</v>
      </c>
      <c r="D43" s="439"/>
      <c r="E43" s="439"/>
      <c r="F43" s="439"/>
      <c r="G43" s="440"/>
      <c r="H43" s="10">
        <v>0</v>
      </c>
      <c r="I43" s="10">
        <v>0</v>
      </c>
      <c r="J43" s="10">
        <v>0</v>
      </c>
      <c r="K43" s="10">
        <v>0</v>
      </c>
      <c r="L43" s="10">
        <v>0</v>
      </c>
      <c r="M43" s="10">
        <v>261</v>
      </c>
      <c r="N43" s="10">
        <v>0</v>
      </c>
      <c r="O43" s="10">
        <v>49</v>
      </c>
      <c r="P43" s="10">
        <v>18</v>
      </c>
      <c r="Q43" s="415">
        <f t="shared" si="0"/>
        <v>328</v>
      </c>
      <c r="R43" s="10">
        <v>139</v>
      </c>
      <c r="S43" s="10">
        <v>0</v>
      </c>
      <c r="T43" s="10">
        <v>1</v>
      </c>
      <c r="U43" s="10">
        <v>0</v>
      </c>
      <c r="V43" s="10">
        <v>282</v>
      </c>
      <c r="W43" s="10">
        <v>23</v>
      </c>
      <c r="X43" s="10">
        <v>-1</v>
      </c>
      <c r="Y43" s="10">
        <v>0</v>
      </c>
      <c r="Z43" s="10">
        <v>0</v>
      </c>
      <c r="AA43" s="10">
        <v>0</v>
      </c>
      <c r="AB43" s="10">
        <v>0</v>
      </c>
      <c r="AC43" s="10">
        <v>0</v>
      </c>
      <c r="AD43" s="10">
        <v>0</v>
      </c>
      <c r="AE43" s="415">
        <f t="shared" si="1"/>
        <v>772</v>
      </c>
      <c r="AF43" s="25"/>
    </row>
    <row r="44" spans="1:32" customFormat="1" ht="12.75" customHeight="1" x14ac:dyDescent="0.35">
      <c r="A44" s="433" t="s">
        <v>934</v>
      </c>
      <c r="B44" s="437"/>
      <c r="C44" s="438" t="s">
        <v>935</v>
      </c>
      <c r="D44" s="439"/>
      <c r="E44" s="439"/>
      <c r="F44" s="439"/>
      <c r="G44" s="440"/>
      <c r="H44" s="10">
        <v>0</v>
      </c>
      <c r="I44" s="10">
        <v>0</v>
      </c>
      <c r="J44" s="10">
        <v>0</v>
      </c>
      <c r="K44" s="10">
        <v>0</v>
      </c>
      <c r="L44" s="10">
        <v>0</v>
      </c>
      <c r="M44" s="10">
        <v>888</v>
      </c>
      <c r="N44" s="10">
        <v>0</v>
      </c>
      <c r="O44" s="10">
        <v>5</v>
      </c>
      <c r="P44" s="10">
        <v>572</v>
      </c>
      <c r="Q44" s="415">
        <f t="shared" si="0"/>
        <v>1465</v>
      </c>
      <c r="R44" s="10">
        <v>-28</v>
      </c>
      <c r="S44" s="10">
        <v>0</v>
      </c>
      <c r="T44" s="10">
        <v>4</v>
      </c>
      <c r="U44" s="10">
        <v>0</v>
      </c>
      <c r="V44" s="10">
        <v>0</v>
      </c>
      <c r="W44" s="10">
        <v>-45</v>
      </c>
      <c r="X44" s="10">
        <v>0</v>
      </c>
      <c r="Y44" s="10">
        <v>0</v>
      </c>
      <c r="Z44" s="10">
        <v>0</v>
      </c>
      <c r="AA44" s="10">
        <v>7</v>
      </c>
      <c r="AB44" s="10">
        <v>0</v>
      </c>
      <c r="AC44" s="10">
        <v>0</v>
      </c>
      <c r="AD44" s="10">
        <v>0</v>
      </c>
      <c r="AE44" s="415">
        <f t="shared" si="1"/>
        <v>1403</v>
      </c>
      <c r="AF44" s="25"/>
    </row>
    <row r="45" spans="1:32" customFormat="1" ht="12.75" customHeight="1" x14ac:dyDescent="0.35">
      <c r="A45" s="433" t="s">
        <v>936</v>
      </c>
      <c r="B45" s="437"/>
      <c r="C45" s="438" t="s">
        <v>937</v>
      </c>
      <c r="D45" s="439"/>
      <c r="E45" s="439"/>
      <c r="F45" s="439"/>
      <c r="G45" s="440"/>
      <c r="H45" s="10">
        <v>0</v>
      </c>
      <c r="I45" s="10">
        <v>0</v>
      </c>
      <c r="J45" s="10">
        <v>0</v>
      </c>
      <c r="K45" s="10">
        <v>0</v>
      </c>
      <c r="L45" s="10">
        <v>0</v>
      </c>
      <c r="M45" s="10">
        <v>222</v>
      </c>
      <c r="N45" s="10">
        <v>0</v>
      </c>
      <c r="O45" s="10">
        <v>175</v>
      </c>
      <c r="P45" s="10">
        <v>215</v>
      </c>
      <c r="Q45" s="415">
        <f t="shared" si="0"/>
        <v>612</v>
      </c>
      <c r="R45" s="10">
        <v>94</v>
      </c>
      <c r="S45" s="10">
        <v>1</v>
      </c>
      <c r="T45" s="10">
        <v>0</v>
      </c>
      <c r="U45" s="10">
        <v>0</v>
      </c>
      <c r="V45" s="10">
        <v>0</v>
      </c>
      <c r="W45" s="10">
        <v>0</v>
      </c>
      <c r="X45" s="10">
        <v>97</v>
      </c>
      <c r="Y45" s="10">
        <v>0</v>
      </c>
      <c r="Z45" s="10">
        <v>0</v>
      </c>
      <c r="AA45" s="10">
        <v>0</v>
      </c>
      <c r="AB45" s="10">
        <v>0</v>
      </c>
      <c r="AC45" s="10">
        <v>0</v>
      </c>
      <c r="AD45" s="10">
        <v>0</v>
      </c>
      <c r="AE45" s="415">
        <f t="shared" si="1"/>
        <v>804</v>
      </c>
      <c r="AF45" s="25"/>
    </row>
    <row r="46" spans="1:32" customFormat="1" ht="12.75" customHeight="1" x14ac:dyDescent="0.35">
      <c r="A46" s="433" t="s">
        <v>938</v>
      </c>
      <c r="B46" s="437"/>
      <c r="C46" s="438" t="s">
        <v>939</v>
      </c>
      <c r="D46" s="439"/>
      <c r="E46" s="439"/>
      <c r="F46" s="439"/>
      <c r="G46" s="440"/>
      <c r="H46" s="10">
        <v>918</v>
      </c>
      <c r="I46" s="10">
        <v>247</v>
      </c>
      <c r="J46" s="10">
        <v>0</v>
      </c>
      <c r="K46" s="10">
        <v>-20</v>
      </c>
      <c r="L46" s="10">
        <v>376</v>
      </c>
      <c r="M46" s="10">
        <v>1089</v>
      </c>
      <c r="N46" s="10">
        <v>0</v>
      </c>
      <c r="O46" s="10">
        <v>372</v>
      </c>
      <c r="P46" s="10">
        <v>198</v>
      </c>
      <c r="Q46" s="415">
        <f t="shared" si="0"/>
        <v>3180</v>
      </c>
      <c r="R46" s="10">
        <v>822</v>
      </c>
      <c r="S46" s="10">
        <v>0</v>
      </c>
      <c r="T46" s="10">
        <v>-5</v>
      </c>
      <c r="U46" s="10">
        <v>0</v>
      </c>
      <c r="V46" s="10">
        <v>0</v>
      </c>
      <c r="W46" s="10">
        <v>-45</v>
      </c>
      <c r="X46" s="10">
        <v>3</v>
      </c>
      <c r="Y46" s="10">
        <v>0</v>
      </c>
      <c r="Z46" s="10">
        <v>0</v>
      </c>
      <c r="AA46" s="10">
        <v>1</v>
      </c>
      <c r="AB46" s="10">
        <v>114</v>
      </c>
      <c r="AC46" s="10">
        <v>0</v>
      </c>
      <c r="AD46" s="10">
        <v>1460</v>
      </c>
      <c r="AE46" s="415">
        <f t="shared" si="1"/>
        <v>5530</v>
      </c>
      <c r="AF46" s="25"/>
    </row>
    <row r="47" spans="1:32" customFormat="1" ht="12.75" customHeight="1" x14ac:dyDescent="0.35">
      <c r="A47" s="433" t="s">
        <v>940</v>
      </c>
      <c r="B47" s="437"/>
      <c r="C47" s="438" t="s">
        <v>941</v>
      </c>
      <c r="D47" s="439"/>
      <c r="E47" s="439"/>
      <c r="F47" s="439"/>
      <c r="G47" s="440"/>
      <c r="H47" s="10">
        <v>0</v>
      </c>
      <c r="I47" s="10">
        <v>0</v>
      </c>
      <c r="J47" s="10">
        <v>0</v>
      </c>
      <c r="K47" s="10">
        <v>0</v>
      </c>
      <c r="L47" s="10">
        <v>0</v>
      </c>
      <c r="M47" s="10">
        <v>165</v>
      </c>
      <c r="N47" s="10">
        <v>0</v>
      </c>
      <c r="O47" s="10">
        <v>0</v>
      </c>
      <c r="P47" s="10">
        <v>215</v>
      </c>
      <c r="Q47" s="415">
        <f t="shared" si="0"/>
        <v>380</v>
      </c>
      <c r="R47" s="10">
        <v>-9</v>
      </c>
      <c r="S47" s="10">
        <v>4</v>
      </c>
      <c r="T47" s="10">
        <v>0</v>
      </c>
      <c r="U47" s="10">
        <v>0</v>
      </c>
      <c r="V47" s="10">
        <v>0</v>
      </c>
      <c r="W47" s="10">
        <v>22</v>
      </c>
      <c r="X47" s="10">
        <v>0</v>
      </c>
      <c r="Y47" s="10">
        <v>0</v>
      </c>
      <c r="Z47" s="10">
        <v>0</v>
      </c>
      <c r="AA47" s="10">
        <v>4</v>
      </c>
      <c r="AB47" s="10">
        <v>146</v>
      </c>
      <c r="AC47" s="10">
        <v>0</v>
      </c>
      <c r="AD47" s="10">
        <v>57</v>
      </c>
      <c r="AE47" s="415">
        <f t="shared" si="1"/>
        <v>604</v>
      </c>
      <c r="AF47" s="25"/>
    </row>
    <row r="48" spans="1:32" customFormat="1" ht="12.75" customHeight="1" x14ac:dyDescent="0.35">
      <c r="A48" s="433" t="s">
        <v>942</v>
      </c>
      <c r="B48" s="437"/>
      <c r="C48" s="438" t="s">
        <v>943</v>
      </c>
      <c r="D48" s="439"/>
      <c r="E48" s="439"/>
      <c r="F48" s="439"/>
      <c r="G48" s="440"/>
      <c r="H48" s="10">
        <v>0</v>
      </c>
      <c r="I48" s="10">
        <v>169</v>
      </c>
      <c r="J48" s="10">
        <v>8</v>
      </c>
      <c r="K48" s="10">
        <v>191</v>
      </c>
      <c r="L48" s="10">
        <v>138</v>
      </c>
      <c r="M48" s="10">
        <v>1902</v>
      </c>
      <c r="N48" s="10">
        <v>0</v>
      </c>
      <c r="O48" s="10">
        <v>237</v>
      </c>
      <c r="P48" s="10">
        <v>27</v>
      </c>
      <c r="Q48" s="415">
        <f t="shared" si="0"/>
        <v>2672</v>
      </c>
      <c r="R48" s="10">
        <v>99</v>
      </c>
      <c r="S48" s="10">
        <v>0</v>
      </c>
      <c r="T48" s="10">
        <v>-2</v>
      </c>
      <c r="U48" s="10">
        <v>0</v>
      </c>
      <c r="V48" s="10">
        <v>364</v>
      </c>
      <c r="W48" s="10">
        <v>-112</v>
      </c>
      <c r="X48" s="10">
        <v>109</v>
      </c>
      <c r="Y48" s="10">
        <v>0</v>
      </c>
      <c r="Z48" s="10">
        <v>0</v>
      </c>
      <c r="AA48" s="10">
        <v>0</v>
      </c>
      <c r="AB48" s="10">
        <v>0</v>
      </c>
      <c r="AC48" s="10">
        <v>0</v>
      </c>
      <c r="AD48" s="10">
        <v>0</v>
      </c>
      <c r="AE48" s="415">
        <f t="shared" si="1"/>
        <v>3130</v>
      </c>
      <c r="AF48" s="25"/>
    </row>
    <row r="49" spans="1:32" customFormat="1" ht="12.75" customHeight="1" x14ac:dyDescent="0.35">
      <c r="A49" s="433" t="s">
        <v>944</v>
      </c>
      <c r="B49" s="437"/>
      <c r="C49" s="438" t="s">
        <v>945</v>
      </c>
      <c r="D49" s="439"/>
      <c r="E49" s="439"/>
      <c r="F49" s="439"/>
      <c r="G49" s="440"/>
      <c r="H49" s="10">
        <v>0</v>
      </c>
      <c r="I49" s="10">
        <v>0</v>
      </c>
      <c r="J49" s="10">
        <v>0</v>
      </c>
      <c r="K49" s="10">
        <v>1</v>
      </c>
      <c r="L49" s="10">
        <v>0</v>
      </c>
      <c r="M49" s="10">
        <v>3</v>
      </c>
      <c r="N49" s="10">
        <v>0</v>
      </c>
      <c r="O49" s="10">
        <v>0</v>
      </c>
      <c r="P49" s="10">
        <v>-63</v>
      </c>
      <c r="Q49" s="415">
        <f t="shared" si="0"/>
        <v>-59</v>
      </c>
      <c r="R49" s="10">
        <v>53</v>
      </c>
      <c r="S49" s="10">
        <v>0</v>
      </c>
      <c r="T49" s="10">
        <v>0</v>
      </c>
      <c r="U49" s="10">
        <v>0</v>
      </c>
      <c r="V49" s="10">
        <v>0</v>
      </c>
      <c r="W49" s="10">
        <v>0</v>
      </c>
      <c r="X49" s="10">
        <v>0</v>
      </c>
      <c r="Y49" s="10">
        <v>0</v>
      </c>
      <c r="Z49" s="10">
        <v>0</v>
      </c>
      <c r="AA49" s="10">
        <v>0</v>
      </c>
      <c r="AB49" s="10">
        <v>0</v>
      </c>
      <c r="AC49" s="10">
        <v>0</v>
      </c>
      <c r="AD49" s="10">
        <v>0</v>
      </c>
      <c r="AE49" s="415">
        <f t="shared" si="1"/>
        <v>-6</v>
      </c>
      <c r="AF49" s="25"/>
    </row>
    <row r="50" spans="1:32" customFormat="1" ht="12.75" customHeight="1" x14ac:dyDescent="0.35">
      <c r="A50" s="433" t="s">
        <v>946</v>
      </c>
      <c r="B50" s="437"/>
      <c r="C50" s="438" t="s">
        <v>947</v>
      </c>
      <c r="D50" s="439"/>
      <c r="E50" s="439"/>
      <c r="F50" s="439"/>
      <c r="G50" s="440"/>
      <c r="H50" s="10">
        <v>0</v>
      </c>
      <c r="I50" s="10">
        <v>0</v>
      </c>
      <c r="J50" s="10">
        <v>0</v>
      </c>
      <c r="K50" s="10">
        <v>0</v>
      </c>
      <c r="L50" s="10">
        <v>0</v>
      </c>
      <c r="M50" s="10">
        <v>0</v>
      </c>
      <c r="N50" s="10">
        <v>0</v>
      </c>
      <c r="O50" s="10">
        <v>0</v>
      </c>
      <c r="P50" s="10">
        <v>0</v>
      </c>
      <c r="Q50" s="415">
        <f t="shared" si="0"/>
        <v>0</v>
      </c>
      <c r="R50" s="10">
        <v>0</v>
      </c>
      <c r="S50" s="10">
        <v>0</v>
      </c>
      <c r="T50" s="10">
        <v>0</v>
      </c>
      <c r="U50" s="10">
        <v>0</v>
      </c>
      <c r="V50" s="10">
        <v>0</v>
      </c>
      <c r="W50" s="10">
        <v>0</v>
      </c>
      <c r="X50" s="10">
        <v>0</v>
      </c>
      <c r="Y50" s="10">
        <v>0</v>
      </c>
      <c r="Z50" s="10">
        <v>0</v>
      </c>
      <c r="AA50" s="10">
        <v>0</v>
      </c>
      <c r="AB50" s="10">
        <v>0</v>
      </c>
      <c r="AC50" s="10">
        <v>0</v>
      </c>
      <c r="AD50" s="10">
        <v>0</v>
      </c>
      <c r="AE50" s="415">
        <f t="shared" si="1"/>
        <v>0</v>
      </c>
      <c r="AF50" s="25"/>
    </row>
    <row r="51" spans="1:32" customFormat="1" ht="12.75" customHeight="1" x14ac:dyDescent="0.35">
      <c r="A51" s="433" t="s">
        <v>948</v>
      </c>
      <c r="B51" s="316" t="s">
        <v>949</v>
      </c>
      <c r="C51" s="363"/>
      <c r="D51" s="363"/>
      <c r="E51" s="363"/>
      <c r="F51" s="363"/>
      <c r="G51" s="376"/>
      <c r="H51" s="415">
        <f t="shared" ref="H51:AE51" si="2">SUM(H6:H50)</f>
        <v>22067</v>
      </c>
      <c r="I51" s="415">
        <f t="shared" si="2"/>
        <v>42082</v>
      </c>
      <c r="J51" s="415">
        <f t="shared" si="2"/>
        <v>9490</v>
      </c>
      <c r="K51" s="415">
        <f t="shared" si="2"/>
        <v>33151</v>
      </c>
      <c r="L51" s="415">
        <f t="shared" si="2"/>
        <v>11635</v>
      </c>
      <c r="M51" s="415">
        <f t="shared" si="2"/>
        <v>6730</v>
      </c>
      <c r="N51" s="415">
        <f t="shared" si="2"/>
        <v>16213</v>
      </c>
      <c r="O51" s="415">
        <f t="shared" si="2"/>
        <v>24368</v>
      </c>
      <c r="P51" s="415">
        <f t="shared" si="2"/>
        <v>9372</v>
      </c>
      <c r="Q51" s="415">
        <f t="shared" si="2"/>
        <v>175108</v>
      </c>
      <c r="R51" s="415">
        <f t="shared" si="2"/>
        <v>81518</v>
      </c>
      <c r="S51" s="415">
        <f t="shared" si="2"/>
        <v>1125</v>
      </c>
      <c r="T51" s="415">
        <f t="shared" si="2"/>
        <v>41102</v>
      </c>
      <c r="U51" s="415">
        <f t="shared" si="2"/>
        <v>0</v>
      </c>
      <c r="V51" s="415">
        <f t="shared" si="2"/>
        <v>14901</v>
      </c>
      <c r="W51" s="415">
        <f t="shared" si="2"/>
        <v>-1375</v>
      </c>
      <c r="X51" s="415">
        <f t="shared" si="2"/>
        <v>10190</v>
      </c>
      <c r="Y51" s="415">
        <f t="shared" si="2"/>
        <v>3596</v>
      </c>
      <c r="Z51" s="415">
        <f t="shared" si="2"/>
        <v>4168</v>
      </c>
      <c r="AA51" s="415">
        <f t="shared" si="2"/>
        <v>1975</v>
      </c>
      <c r="AB51" s="415">
        <f t="shared" si="2"/>
        <v>13306</v>
      </c>
      <c r="AC51" s="415">
        <f t="shared" si="2"/>
        <v>11041</v>
      </c>
      <c r="AD51" s="415">
        <f t="shared" si="2"/>
        <v>11162</v>
      </c>
      <c r="AE51" s="415">
        <f t="shared" si="2"/>
        <v>367817</v>
      </c>
      <c r="AF51" s="25"/>
    </row>
    <row r="52" spans="1:32" customFormat="1" ht="12.75" customHeight="1" x14ac:dyDescent="0.35">
      <c r="A52" s="433"/>
      <c r="B52" s="80"/>
      <c r="C52" s="439"/>
      <c r="D52" s="439"/>
      <c r="E52" s="439"/>
      <c r="F52" s="439"/>
      <c r="G52" s="6"/>
      <c r="H52" s="104"/>
      <c r="I52" s="104"/>
      <c r="J52" s="104"/>
      <c r="K52" s="104"/>
      <c r="L52" s="104"/>
      <c r="M52" s="104"/>
      <c r="N52" s="104"/>
      <c r="O52" s="104"/>
      <c r="P52" s="104"/>
      <c r="Q52" s="103"/>
      <c r="R52" s="103"/>
      <c r="S52" s="103"/>
      <c r="T52" s="103"/>
      <c r="U52" s="103"/>
      <c r="V52" s="103"/>
      <c r="W52" s="103"/>
      <c r="X52" s="103"/>
      <c r="Y52" s="103"/>
      <c r="Z52" s="103"/>
      <c r="AA52" s="103"/>
      <c r="AB52" s="103"/>
      <c r="AC52" s="103"/>
      <c r="AD52" s="103"/>
      <c r="AE52" s="103"/>
      <c r="AF52" s="25"/>
    </row>
    <row r="53" spans="1:32" customFormat="1" ht="12.75" customHeight="1" x14ac:dyDescent="0.35">
      <c r="A53" s="433">
        <v>2</v>
      </c>
      <c r="B53" s="437" t="s">
        <v>950</v>
      </c>
      <c r="C53" s="438"/>
      <c r="D53" s="438"/>
      <c r="E53" s="438"/>
      <c r="F53" s="438"/>
      <c r="G53" s="442"/>
      <c r="H53" s="10">
        <v>0</v>
      </c>
      <c r="I53" s="10">
        <v>10</v>
      </c>
      <c r="J53" s="10">
        <v>105</v>
      </c>
      <c r="K53" s="10">
        <v>-183</v>
      </c>
      <c r="L53" s="10">
        <v>-244</v>
      </c>
      <c r="M53" s="10">
        <v>-9</v>
      </c>
      <c r="N53" s="10">
        <v>0</v>
      </c>
      <c r="O53" s="10">
        <v>1749</v>
      </c>
      <c r="P53" s="10">
        <v>-49</v>
      </c>
      <c r="Q53" s="415">
        <f>SUM(H53:P53)</f>
        <v>1379</v>
      </c>
      <c r="R53" s="10">
        <v>694</v>
      </c>
      <c r="S53" s="10">
        <v>52</v>
      </c>
      <c r="T53" s="10">
        <v>1</v>
      </c>
      <c r="U53" s="10">
        <v>0</v>
      </c>
      <c r="V53" s="10">
        <v>0</v>
      </c>
      <c r="W53" s="10">
        <v>39</v>
      </c>
      <c r="X53" s="10">
        <v>-5</v>
      </c>
      <c r="Y53" s="10">
        <v>0</v>
      </c>
      <c r="Z53" s="10">
        <v>0</v>
      </c>
      <c r="AA53" s="10">
        <v>0</v>
      </c>
      <c r="AB53" s="10">
        <v>0</v>
      </c>
      <c r="AC53" s="10">
        <v>0</v>
      </c>
      <c r="AD53" s="10">
        <v>-2</v>
      </c>
      <c r="AE53" s="415">
        <f>SUM(Q53:AD53)</f>
        <v>2158</v>
      </c>
      <c r="AF53" s="25"/>
    </row>
    <row r="54" spans="1:32" customFormat="1" ht="12.75" customHeight="1" x14ac:dyDescent="0.35">
      <c r="A54" s="433"/>
      <c r="B54" s="80"/>
      <c r="C54" s="439"/>
      <c r="D54" s="439"/>
      <c r="E54" s="439"/>
      <c r="F54" s="439"/>
      <c r="G54" s="6"/>
      <c r="H54" s="104"/>
      <c r="I54" s="104"/>
      <c r="J54" s="104"/>
      <c r="K54" s="104"/>
      <c r="L54" s="104"/>
      <c r="M54" s="104"/>
      <c r="N54" s="104"/>
      <c r="O54" s="104"/>
      <c r="P54" s="104"/>
      <c r="Q54" s="103"/>
      <c r="R54" s="103"/>
      <c r="S54" s="103"/>
      <c r="T54" s="103"/>
      <c r="U54" s="103"/>
      <c r="V54" s="103"/>
      <c r="W54" s="103"/>
      <c r="X54" s="103"/>
      <c r="Y54" s="103"/>
      <c r="Z54" s="103"/>
      <c r="AA54" s="103"/>
      <c r="AB54" s="103"/>
      <c r="AC54" s="103"/>
      <c r="AD54" s="103"/>
      <c r="AE54" s="103"/>
      <c r="AF54" s="25"/>
    </row>
    <row r="55" spans="1:32" customFormat="1" ht="12.75" customHeight="1" x14ac:dyDescent="0.35">
      <c r="A55" s="433">
        <v>3</v>
      </c>
      <c r="B55" s="434" t="s">
        <v>951</v>
      </c>
      <c r="C55" s="435"/>
      <c r="D55" s="435"/>
      <c r="E55" s="435"/>
      <c r="F55" s="435"/>
      <c r="G55" s="436"/>
      <c r="H55" s="443"/>
      <c r="I55" s="443"/>
      <c r="J55" s="443"/>
      <c r="K55" s="443"/>
      <c r="L55" s="443"/>
      <c r="M55" s="443"/>
      <c r="N55" s="443"/>
      <c r="O55" s="443"/>
      <c r="P55" s="443"/>
      <c r="Q55" s="298"/>
      <c r="R55" s="298"/>
      <c r="S55" s="298"/>
      <c r="T55" s="298"/>
      <c r="U55" s="298"/>
      <c r="V55" s="298"/>
      <c r="W55" s="298"/>
      <c r="X55" s="298"/>
      <c r="Y55" s="298"/>
      <c r="Z55" s="298"/>
      <c r="AA55" s="298"/>
      <c r="AB55" s="298"/>
      <c r="AC55" s="298"/>
      <c r="AD55" s="298"/>
      <c r="AE55" s="298"/>
      <c r="AF55" s="25"/>
    </row>
    <row r="56" spans="1:32" customFormat="1" ht="12.75" customHeight="1" x14ac:dyDescent="0.35">
      <c r="A56" s="433" t="s">
        <v>123</v>
      </c>
      <c r="B56" s="444"/>
      <c r="C56" s="438" t="s">
        <v>952</v>
      </c>
      <c r="D56" s="439"/>
      <c r="E56" s="439"/>
      <c r="F56" s="439"/>
      <c r="G56" s="440"/>
      <c r="H56" s="10">
        <v>618</v>
      </c>
      <c r="I56" s="10">
        <v>989</v>
      </c>
      <c r="J56" s="10">
        <v>146</v>
      </c>
      <c r="K56" s="10">
        <v>692</v>
      </c>
      <c r="L56" s="10">
        <v>36</v>
      </c>
      <c r="M56" s="10">
        <v>102</v>
      </c>
      <c r="N56" s="10">
        <v>92</v>
      </c>
      <c r="O56" s="10">
        <v>423</v>
      </c>
      <c r="P56" s="10">
        <v>262</v>
      </c>
      <c r="Q56" s="415">
        <f>SUM(H56:P56)</f>
        <v>3360</v>
      </c>
      <c r="R56" s="10">
        <v>1210</v>
      </c>
      <c r="S56" s="10">
        <v>0</v>
      </c>
      <c r="T56" s="10">
        <v>3146</v>
      </c>
      <c r="U56" s="10">
        <v>0</v>
      </c>
      <c r="V56" s="10">
        <v>776</v>
      </c>
      <c r="W56" s="10">
        <v>-350</v>
      </c>
      <c r="X56" s="10">
        <v>-3126</v>
      </c>
      <c r="Y56" s="10">
        <v>-8</v>
      </c>
      <c r="Z56" s="10">
        <v>-178</v>
      </c>
      <c r="AA56" s="10">
        <v>15</v>
      </c>
      <c r="AB56" s="10">
        <v>235</v>
      </c>
      <c r="AC56" s="10">
        <v>288</v>
      </c>
      <c r="AD56" s="10">
        <v>29</v>
      </c>
      <c r="AE56" s="415">
        <f>SUM(Q56:AD56)</f>
        <v>5397</v>
      </c>
      <c r="AF56" s="25"/>
    </row>
    <row r="57" spans="1:32" customFormat="1" ht="12.75" customHeight="1" x14ac:dyDescent="0.35">
      <c r="A57" s="433" t="s">
        <v>709</v>
      </c>
      <c r="B57" s="444"/>
      <c r="C57" s="438" t="s">
        <v>953</v>
      </c>
      <c r="D57" s="439"/>
      <c r="E57" s="439"/>
      <c r="F57" s="439"/>
      <c r="G57" s="440"/>
      <c r="H57" s="10">
        <v>0</v>
      </c>
      <c r="I57" s="10">
        <v>0</v>
      </c>
      <c r="J57" s="10">
        <v>0</v>
      </c>
      <c r="K57" s="10">
        <v>0</v>
      </c>
      <c r="L57" s="10">
        <v>0</v>
      </c>
      <c r="M57" s="10">
        <v>0</v>
      </c>
      <c r="N57" s="10">
        <v>0</v>
      </c>
      <c r="O57" s="10">
        <v>0</v>
      </c>
      <c r="P57" s="10">
        <v>0</v>
      </c>
      <c r="Q57" s="415">
        <f>SUM(H57:P57)</f>
        <v>0</v>
      </c>
      <c r="R57" s="10">
        <v>0</v>
      </c>
      <c r="S57" s="10">
        <v>0</v>
      </c>
      <c r="T57" s="10">
        <v>0</v>
      </c>
      <c r="U57" s="10">
        <v>0</v>
      </c>
      <c r="V57" s="10">
        <v>0</v>
      </c>
      <c r="W57" s="10">
        <v>0</v>
      </c>
      <c r="X57" s="10">
        <v>0</v>
      </c>
      <c r="Y57" s="10">
        <v>0</v>
      </c>
      <c r="Z57" s="10">
        <v>0</v>
      </c>
      <c r="AA57" s="10">
        <v>0</v>
      </c>
      <c r="AB57" s="10">
        <v>0</v>
      </c>
      <c r="AC57" s="10">
        <v>0</v>
      </c>
      <c r="AD57" s="10">
        <v>0</v>
      </c>
      <c r="AE57" s="415">
        <f>SUM(Q57:AD57)</f>
        <v>0</v>
      </c>
      <c r="AF57" s="25"/>
    </row>
    <row r="58" spans="1:32" customFormat="1" ht="12.75" customHeight="1" x14ac:dyDescent="0.35">
      <c r="A58" s="433" t="s">
        <v>711</v>
      </c>
      <c r="B58" s="444"/>
      <c r="C58" s="438" t="s">
        <v>954</v>
      </c>
      <c r="D58" s="439"/>
      <c r="E58" s="439"/>
      <c r="F58" s="439"/>
      <c r="G58" s="440"/>
      <c r="H58" s="10">
        <v>0</v>
      </c>
      <c r="I58" s="10">
        <v>0</v>
      </c>
      <c r="J58" s="10">
        <v>0</v>
      </c>
      <c r="K58" s="10">
        <v>0</v>
      </c>
      <c r="L58" s="10">
        <v>0</v>
      </c>
      <c r="M58" s="10">
        <v>0</v>
      </c>
      <c r="N58" s="10">
        <v>0</v>
      </c>
      <c r="O58" s="10">
        <v>0</v>
      </c>
      <c r="P58" s="10">
        <v>0</v>
      </c>
      <c r="Q58" s="415">
        <f>SUM(H58:P58)</f>
        <v>0</v>
      </c>
      <c r="R58" s="10">
        <v>0</v>
      </c>
      <c r="S58" s="10">
        <v>0</v>
      </c>
      <c r="T58" s="10">
        <v>0</v>
      </c>
      <c r="U58" s="10">
        <v>0</v>
      </c>
      <c r="V58" s="10">
        <v>0</v>
      </c>
      <c r="W58" s="10">
        <v>0</v>
      </c>
      <c r="X58" s="10">
        <v>0</v>
      </c>
      <c r="Y58" s="10">
        <v>0</v>
      </c>
      <c r="Z58" s="10">
        <v>0</v>
      </c>
      <c r="AA58" s="10">
        <v>0</v>
      </c>
      <c r="AB58" s="10">
        <v>0</v>
      </c>
      <c r="AC58" s="10">
        <v>0</v>
      </c>
      <c r="AD58" s="10">
        <v>0</v>
      </c>
      <c r="AE58" s="415">
        <f>SUM(Q58:AD58)</f>
        <v>0</v>
      </c>
      <c r="AF58" s="25"/>
    </row>
    <row r="59" spans="1:32" customFormat="1" ht="12.75" customHeight="1" x14ac:dyDescent="0.35">
      <c r="A59" s="433" t="s">
        <v>713</v>
      </c>
      <c r="B59" s="316" t="s">
        <v>955</v>
      </c>
      <c r="C59" s="363"/>
      <c r="D59" s="363"/>
      <c r="E59" s="363"/>
      <c r="F59" s="363"/>
      <c r="G59" s="376"/>
      <c r="H59" s="415">
        <f t="shared" ref="H59:AE59" si="3">SUM(H56:H58)</f>
        <v>618</v>
      </c>
      <c r="I59" s="415">
        <f t="shared" si="3"/>
        <v>989</v>
      </c>
      <c r="J59" s="415">
        <f t="shared" si="3"/>
        <v>146</v>
      </c>
      <c r="K59" s="415">
        <f t="shared" si="3"/>
        <v>692</v>
      </c>
      <c r="L59" s="415">
        <f t="shared" si="3"/>
        <v>36</v>
      </c>
      <c r="M59" s="415">
        <f t="shared" si="3"/>
        <v>102</v>
      </c>
      <c r="N59" s="415">
        <f t="shared" si="3"/>
        <v>92</v>
      </c>
      <c r="O59" s="415">
        <f t="shared" si="3"/>
        <v>423</v>
      </c>
      <c r="P59" s="415">
        <f t="shared" si="3"/>
        <v>262</v>
      </c>
      <c r="Q59" s="415">
        <f t="shared" si="3"/>
        <v>3360</v>
      </c>
      <c r="R59" s="415">
        <f t="shared" si="3"/>
        <v>1210</v>
      </c>
      <c r="S59" s="415">
        <f t="shared" si="3"/>
        <v>0</v>
      </c>
      <c r="T59" s="415">
        <f t="shared" si="3"/>
        <v>3146</v>
      </c>
      <c r="U59" s="415">
        <f t="shared" si="3"/>
        <v>0</v>
      </c>
      <c r="V59" s="415">
        <f t="shared" si="3"/>
        <v>776</v>
      </c>
      <c r="W59" s="415">
        <f t="shared" si="3"/>
        <v>-350</v>
      </c>
      <c r="X59" s="415">
        <f t="shared" si="3"/>
        <v>-3126</v>
      </c>
      <c r="Y59" s="415">
        <f t="shared" si="3"/>
        <v>-8</v>
      </c>
      <c r="Z59" s="415">
        <f t="shared" si="3"/>
        <v>-178</v>
      </c>
      <c r="AA59" s="415">
        <f t="shared" si="3"/>
        <v>15</v>
      </c>
      <c r="AB59" s="415">
        <f t="shared" si="3"/>
        <v>235</v>
      </c>
      <c r="AC59" s="415">
        <f t="shared" si="3"/>
        <v>288</v>
      </c>
      <c r="AD59" s="415">
        <f t="shared" si="3"/>
        <v>29</v>
      </c>
      <c r="AE59" s="415">
        <f t="shared" si="3"/>
        <v>5397</v>
      </c>
      <c r="AF59" s="25"/>
    </row>
    <row r="60" spans="1:32" customFormat="1" ht="12.75" customHeight="1" x14ac:dyDescent="0.35">
      <c r="A60" s="433"/>
      <c r="B60" s="445"/>
      <c r="C60" s="446"/>
      <c r="D60" s="446"/>
      <c r="E60" s="446"/>
      <c r="F60" s="446"/>
      <c r="G60" s="447"/>
      <c r="H60" s="104"/>
      <c r="I60" s="104"/>
      <c r="J60" s="104"/>
      <c r="K60" s="104"/>
      <c r="L60" s="104"/>
      <c r="M60" s="104"/>
      <c r="N60" s="104"/>
      <c r="O60" s="104"/>
      <c r="P60" s="104"/>
      <c r="Q60" s="103"/>
      <c r="R60" s="103"/>
      <c r="S60" s="103"/>
      <c r="T60" s="103"/>
      <c r="U60" s="103"/>
      <c r="V60" s="103"/>
      <c r="W60" s="103"/>
      <c r="X60" s="103"/>
      <c r="Y60" s="103"/>
      <c r="Z60" s="103"/>
      <c r="AA60" s="103"/>
      <c r="AB60" s="103"/>
      <c r="AC60" s="103"/>
      <c r="AD60" s="103"/>
      <c r="AE60" s="103"/>
      <c r="AF60" s="25"/>
    </row>
    <row r="61" spans="1:32" customFormat="1" ht="12.75" customHeight="1" x14ac:dyDescent="0.35">
      <c r="A61" s="433">
        <v>4</v>
      </c>
      <c r="B61" s="316" t="s">
        <v>956</v>
      </c>
      <c r="C61" s="363"/>
      <c r="D61" s="363"/>
      <c r="E61" s="363"/>
      <c r="F61" s="363"/>
      <c r="G61" s="376"/>
      <c r="H61" s="415">
        <f t="shared" ref="H61:P61" si="4">H51+H53+H59</f>
        <v>22685</v>
      </c>
      <c r="I61" s="415">
        <f t="shared" si="4"/>
        <v>43081</v>
      </c>
      <c r="J61" s="415">
        <f t="shared" si="4"/>
        <v>9741</v>
      </c>
      <c r="K61" s="415">
        <f t="shared" si="4"/>
        <v>33660</v>
      </c>
      <c r="L61" s="415">
        <f t="shared" si="4"/>
        <v>11427</v>
      </c>
      <c r="M61" s="415">
        <f t="shared" si="4"/>
        <v>6823</v>
      </c>
      <c r="N61" s="415">
        <f t="shared" si="4"/>
        <v>16305</v>
      </c>
      <c r="O61" s="415">
        <f t="shared" si="4"/>
        <v>26540</v>
      </c>
      <c r="P61" s="415">
        <f t="shared" si="4"/>
        <v>9585</v>
      </c>
      <c r="Q61" s="415">
        <f>SUM(H61:P61)</f>
        <v>179847</v>
      </c>
      <c r="R61" s="415">
        <f t="shared" ref="R61:AE61" si="5">R51+R53+R59</f>
        <v>83422</v>
      </c>
      <c r="S61" s="415">
        <f t="shared" si="5"/>
        <v>1177</v>
      </c>
      <c r="T61" s="415">
        <f t="shared" si="5"/>
        <v>44249</v>
      </c>
      <c r="U61" s="415">
        <f t="shared" si="5"/>
        <v>0</v>
      </c>
      <c r="V61" s="415">
        <f t="shared" si="5"/>
        <v>15677</v>
      </c>
      <c r="W61" s="415">
        <f t="shared" si="5"/>
        <v>-1686</v>
      </c>
      <c r="X61" s="415">
        <f t="shared" si="5"/>
        <v>7059</v>
      </c>
      <c r="Y61" s="415">
        <f t="shared" si="5"/>
        <v>3588</v>
      </c>
      <c r="Z61" s="415">
        <f t="shared" si="5"/>
        <v>3990</v>
      </c>
      <c r="AA61" s="415">
        <f t="shared" si="5"/>
        <v>1990</v>
      </c>
      <c r="AB61" s="415">
        <f t="shared" si="5"/>
        <v>13541</v>
      </c>
      <c r="AC61" s="415">
        <f t="shared" si="5"/>
        <v>11329</v>
      </c>
      <c r="AD61" s="415">
        <f t="shared" si="5"/>
        <v>11189</v>
      </c>
      <c r="AE61" s="415">
        <f t="shared" si="5"/>
        <v>375372</v>
      </c>
      <c r="AF61" s="25"/>
    </row>
    <row r="62" spans="1:32" customFormat="1" ht="12.75" customHeight="1" x14ac:dyDescent="0.35">
      <c r="A62" s="433"/>
      <c r="B62" s="445"/>
      <c r="C62" s="446"/>
      <c r="D62" s="446"/>
      <c r="E62" s="446"/>
      <c r="F62" s="446"/>
      <c r="G62" s="447"/>
      <c r="H62" s="104"/>
      <c r="I62" s="104"/>
      <c r="J62" s="104"/>
      <c r="K62" s="104"/>
      <c r="L62" s="104"/>
      <c r="M62" s="104"/>
      <c r="N62" s="104"/>
      <c r="O62" s="104"/>
      <c r="P62" s="104"/>
      <c r="Q62" s="103"/>
      <c r="R62" s="103"/>
      <c r="S62" s="103"/>
      <c r="T62" s="103"/>
      <c r="U62" s="103"/>
      <c r="V62" s="103"/>
      <c r="W62" s="103"/>
      <c r="X62" s="103"/>
      <c r="Y62" s="103"/>
      <c r="Z62" s="103"/>
      <c r="AA62" s="103"/>
      <c r="AB62" s="103"/>
      <c r="AC62" s="103"/>
      <c r="AD62" s="103"/>
      <c r="AE62" s="103"/>
      <c r="AF62" s="25"/>
    </row>
    <row r="63" spans="1:32" customFormat="1" ht="26.25" customHeight="1" x14ac:dyDescent="0.35">
      <c r="A63" s="433">
        <v>5</v>
      </c>
      <c r="B63" s="685" t="s">
        <v>957</v>
      </c>
      <c r="C63" s="686"/>
      <c r="D63" s="446"/>
      <c r="E63" s="446"/>
      <c r="F63" s="446"/>
      <c r="G63" s="447"/>
      <c r="H63" s="10">
        <v>0</v>
      </c>
      <c r="I63" s="10">
        <v>0</v>
      </c>
      <c r="J63" s="10">
        <v>0</v>
      </c>
      <c r="K63" s="10">
        <v>0</v>
      </c>
      <c r="L63" s="10">
        <v>0</v>
      </c>
      <c r="M63" s="10">
        <v>0</v>
      </c>
      <c r="N63" s="10">
        <v>0</v>
      </c>
      <c r="O63" s="10">
        <v>0</v>
      </c>
      <c r="P63" s="10">
        <v>0</v>
      </c>
      <c r="Q63" s="415">
        <f>SUM(H63:P63)</f>
        <v>0</v>
      </c>
      <c r="R63" s="10">
        <v>0</v>
      </c>
      <c r="S63" s="10">
        <v>0</v>
      </c>
      <c r="T63" s="10">
        <v>0</v>
      </c>
      <c r="U63" s="10">
        <v>0</v>
      </c>
      <c r="V63" s="10">
        <v>0</v>
      </c>
      <c r="W63" s="10">
        <v>0</v>
      </c>
      <c r="X63" s="10">
        <v>0</v>
      </c>
      <c r="Y63" s="10">
        <v>0</v>
      </c>
      <c r="Z63" s="10">
        <v>0</v>
      </c>
      <c r="AA63" s="10">
        <v>0</v>
      </c>
      <c r="AB63" s="10">
        <v>0</v>
      </c>
      <c r="AC63" s="10">
        <v>0</v>
      </c>
      <c r="AD63" s="10">
        <v>0</v>
      </c>
      <c r="AE63" s="415">
        <f>SUM(Q63:AD63)</f>
        <v>0</v>
      </c>
      <c r="AF63" s="25"/>
    </row>
    <row r="64" spans="1:32" customFormat="1" ht="12.75" customHeight="1" x14ac:dyDescent="0.35">
      <c r="A64" s="433"/>
      <c r="B64" s="445"/>
      <c r="C64" s="446"/>
      <c r="D64" s="446"/>
      <c r="E64" s="446"/>
      <c r="F64" s="446"/>
      <c r="G64" s="447"/>
      <c r="H64" s="104"/>
      <c r="I64" s="104"/>
      <c r="J64" s="104"/>
      <c r="K64" s="104"/>
      <c r="L64" s="104"/>
      <c r="M64" s="104"/>
      <c r="N64" s="104"/>
      <c r="O64" s="104"/>
      <c r="P64" s="104"/>
      <c r="Q64" s="103"/>
      <c r="R64" s="103"/>
      <c r="S64" s="103"/>
      <c r="T64" s="103"/>
      <c r="U64" s="103"/>
      <c r="V64" s="103"/>
      <c r="W64" s="103"/>
      <c r="X64" s="103"/>
      <c r="Y64" s="103"/>
      <c r="Z64" s="103"/>
      <c r="AA64" s="103"/>
      <c r="AB64" s="103"/>
      <c r="AC64" s="103"/>
      <c r="AD64" s="103"/>
      <c r="AE64" s="103"/>
      <c r="AF64" s="25"/>
    </row>
    <row r="65" spans="1:31" s="53" customFormat="1" x14ac:dyDescent="0.25">
      <c r="A65" s="433">
        <v>6</v>
      </c>
      <c r="B65" s="685" t="s">
        <v>958</v>
      </c>
      <c r="C65" s="686"/>
      <c r="D65" s="448"/>
      <c r="E65" s="448"/>
      <c r="F65" s="448"/>
      <c r="G65" s="449"/>
      <c r="H65" s="10">
        <v>0</v>
      </c>
      <c r="I65" s="10">
        <v>0</v>
      </c>
      <c r="J65" s="10">
        <v>0</v>
      </c>
      <c r="K65" s="10">
        <v>0</v>
      </c>
      <c r="L65" s="10">
        <v>0</v>
      </c>
      <c r="M65" s="10">
        <v>0</v>
      </c>
      <c r="N65" s="10">
        <v>0</v>
      </c>
      <c r="O65" s="10">
        <v>0</v>
      </c>
      <c r="P65" s="10">
        <v>0</v>
      </c>
      <c r="Q65" s="415">
        <f>SUM(H65:P65)</f>
        <v>0</v>
      </c>
      <c r="R65" s="10">
        <v>0</v>
      </c>
      <c r="S65" s="10">
        <v>0</v>
      </c>
      <c r="T65" s="10">
        <v>0</v>
      </c>
      <c r="U65" s="10">
        <v>0</v>
      </c>
      <c r="V65" s="10">
        <v>0</v>
      </c>
      <c r="W65" s="10">
        <v>0</v>
      </c>
      <c r="X65" s="10">
        <v>0</v>
      </c>
      <c r="Y65" s="10">
        <v>0</v>
      </c>
      <c r="Z65" s="10">
        <v>0</v>
      </c>
      <c r="AA65" s="10">
        <v>0</v>
      </c>
      <c r="AB65" s="10">
        <v>0</v>
      </c>
      <c r="AC65" s="10">
        <v>0</v>
      </c>
      <c r="AD65" s="10">
        <v>0</v>
      </c>
      <c r="AE65" s="415">
        <f>SUM(Q65:AD65)</f>
        <v>0</v>
      </c>
    </row>
  </sheetData>
  <sheetProtection algorithmName="SHA-512" hashValue="actUIlQ54Bo//jT0bjhRCK+E2iqfdTxZtb+eq02JbVJKIsYiaZDSYS70I+0s6buLPxo81qlbBTQ6TnyNc5pvXg==" saltValue="CzR03pRCPbEpMYZ6oV0tig==" spinCount="100000" sheet="1" objects="1"/>
  <mergeCells count="4">
    <mergeCell ref="B1:C1"/>
    <mergeCell ref="H1:Q1"/>
    <mergeCell ref="B63:C63"/>
    <mergeCell ref="B65:C65"/>
  </mergeCells>
  <dataValidations xWindow="1514" yWindow="908" count="1">
    <dataValidation type="whole" operator="greaterThan" allowBlank="1" showInputMessage="1" showErrorMessage="1" errorTitle="Whole numbers only allowed" error="All monies should be independently rounded to the nearest £1,000." sqref="H6:P50 R6:AD50 H53:P53 R53:AD53 H56:P58 R56:AD58 H63:P63 R63:AD63 H65:P65 R65:AD65" xr:uid="{00000000-0002-0000-0800-000000000000}">
      <formula1>-99999999</formula1>
    </dataValidation>
  </dataValidations>
  <printOptions headings="1" gridLines="1"/>
  <pageMargins left="0.31496062992125984" right="0.31496062992125984" top="0.74803149606299213" bottom="0.74803149606299213" header="0.31496062992125984" footer="0.31496062992125984"/>
  <pageSetup paperSize="8" fitToWidth="2" orientation="landscape" r:id="rId1"/>
  <ignoredErrors>
    <ignoredError sqref="Q6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925C633811549B3F853F120D6577F" ma:contentTypeVersion="7" ma:contentTypeDescription="Create a new document." ma:contentTypeScope="" ma:versionID="08e14eee5223ea5578683b3218f13210">
  <xsd:schema xmlns:xsd="http://www.w3.org/2001/XMLSchema" xmlns:xs="http://www.w3.org/2001/XMLSchema" xmlns:p="http://schemas.microsoft.com/office/2006/metadata/properties" xmlns:ns2="619afb7c-2de5-4177-b0d9-08fb7757fa3f" xmlns:ns3="a58d4ebb-bb17-4274-83c7-4b6519209440" targetNamespace="http://schemas.microsoft.com/office/2006/metadata/properties" ma:root="true" ma:fieldsID="cc8d6d8ad52982e955eb258046cfb89f" ns2:_="" ns3:_="">
    <xsd:import namespace="619afb7c-2de5-4177-b0d9-08fb7757fa3f"/>
    <xsd:import namespace="a58d4ebb-bb17-4274-83c7-4b65192094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Notes0"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fb7c-2de5-4177-b0d9-08fb7757f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Notes0" ma:index="12" nillable="true" ma:displayName="Notes" ma:format="Dropdown" ma:internalName="Notes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d4ebb-bb17-4274-83c7-4b65192094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0 xmlns="619afb7c-2de5-4177-b0d9-08fb7757fa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90B78-E3FC-4609-82D0-5D21F0AC6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afb7c-2de5-4177-b0d9-08fb7757fa3f"/>
    <ds:schemaRef ds:uri="a58d4ebb-bb17-4274-83c7-4b6519209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8736F3-9F80-4AEC-BD5C-476A25F9FC35}">
  <ds:schemaRefs>
    <ds:schemaRef ds:uri="http://schemas.microsoft.com/office/2006/documentManagement/types"/>
    <ds:schemaRef ds:uri="http://schemas.openxmlformats.org/package/2006/metadata/core-properties"/>
    <ds:schemaRef ds:uri="619afb7c-2de5-4177-b0d9-08fb7757fa3f"/>
    <ds:schemaRef ds:uri="http://purl.org/dc/dcmitype/"/>
    <ds:schemaRef ds:uri="http://purl.org/dc/terms/"/>
    <ds:schemaRef ds:uri="http://schemas.microsoft.com/office/2006/metadata/properties"/>
    <ds:schemaRef ds:uri="http://purl.org/dc/elements/1.1/"/>
    <ds:schemaRef ds:uri="http://schemas.microsoft.com/office/infopath/2007/PartnerControls"/>
    <ds:schemaRef ds:uri="a58d4ebb-bb17-4274-83c7-4b6519209440"/>
    <ds:schemaRef ds:uri="http://www.w3.org/XML/1998/namespace"/>
  </ds:schemaRefs>
</ds:datastoreItem>
</file>

<file path=customXml/itemProps3.xml><?xml version="1.0" encoding="utf-8"?>
<ds:datastoreItem xmlns:ds="http://schemas.openxmlformats.org/officeDocument/2006/customXml" ds:itemID="{F1A54765-5006-4EDE-8FF9-B7B550F5CF2C}">
  <ds:schemaRefs>
    <ds:schemaRef ds:uri="http://schemas.microsoft.com/sharepoint/v3/contenttype/forms"/>
  </ds:schemaRefs>
</ds:datastoreItem>
</file>

<file path=docMetadata/LabelInfo.xml><?xml version="1.0" encoding="utf-8"?>
<clbl:labelList xmlns:clbl="http://schemas.microsoft.com/office/2020/mipLabelMetadata">
  <clbl:label id="{ec1a080c-7386-44f3-81c6-2c71b2b3b237}" enabled="1" method="Standard" siteId="{48f9394d-8a14-4d27-82a6-f35f12361205}"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Notes</vt:lpstr>
      <vt:lpstr>Hide_me(drop_downs)</vt:lpstr>
      <vt:lpstr>Changes Made for C24031</vt:lpstr>
      <vt:lpstr>Title_Page</vt:lpstr>
      <vt:lpstr>Table_1_UK</vt:lpstr>
      <vt:lpstr>Table_2_UK</vt:lpstr>
      <vt:lpstr>Table_2_Scotland</vt:lpstr>
      <vt:lpstr>Table_3_UK</vt:lpstr>
      <vt:lpstr>Table_4_UK</vt:lpstr>
      <vt:lpstr>Table_5_UK</vt:lpstr>
      <vt:lpstr>Table_6_UK</vt:lpstr>
      <vt:lpstr>Table_6_Wales</vt:lpstr>
      <vt:lpstr>Table_6_Scotland</vt:lpstr>
      <vt:lpstr>Table_6_N_Ireland</vt:lpstr>
      <vt:lpstr>Table_7_UK</vt:lpstr>
      <vt:lpstr>Table_8_UK</vt:lpstr>
      <vt:lpstr>Table_9_UK</vt:lpstr>
      <vt:lpstr>Table_10_UK</vt:lpstr>
      <vt:lpstr>Table_11_UK</vt:lpstr>
      <vt:lpstr>Table_12_UK</vt:lpstr>
      <vt:lpstr>KFI</vt:lpstr>
      <vt:lpstr>KFI!Print_Area</vt:lpstr>
      <vt:lpstr>Table_1_UK!Print_Area</vt:lpstr>
      <vt:lpstr>Table_10_UK!Print_Area</vt:lpstr>
      <vt:lpstr>Table_2_UK!Print_Area</vt:lpstr>
      <vt:lpstr>Table_3_UK!Print_Area</vt:lpstr>
      <vt:lpstr>Table_6_N_Ireland!Print_Area</vt:lpstr>
      <vt:lpstr>Table_6_Scotland!Print_Area</vt:lpstr>
      <vt:lpstr>Table_6_Wales!Print_Area</vt:lpstr>
      <vt:lpstr>Table_9_UK!Print_Area</vt:lpstr>
      <vt:lpstr>Title_Page!Print_Area</vt:lpstr>
      <vt:lpstr>Table_11_UK!Print_Titles</vt:lpstr>
      <vt:lpstr>Table_4_UK!Print_Titles</vt:lpstr>
      <vt:lpstr>Title_Page!Print_Titles</vt:lpstr>
      <vt:lpstr>Rules</vt:lpstr>
    </vt:vector>
  </TitlesOfParts>
  <Company>HESA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Fuidge</dc:creator>
  <cp:lastModifiedBy>Jess Wright</cp:lastModifiedBy>
  <cp:lastPrinted>2019-08-27T08:39:24Z</cp:lastPrinted>
  <dcterms:created xsi:type="dcterms:W3CDTF">2013-10-23T08:26:51Z</dcterms:created>
  <dcterms:modified xsi:type="dcterms:W3CDTF">2025-12-09T16:14:54Z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0x0101006BC925C633811549B3F853F120D6577F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